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2.xml" ContentType="application/vnd.openxmlformats-officedocument.spreadsheetml.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1. Personal\Finances\Ventures\Hodassa\"/>
    </mc:Choice>
  </mc:AlternateContent>
  <xr:revisionPtr revIDLastSave="0" documentId="13_ncr:1_{07116A4B-DC45-4657-AE18-1648D455A9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DASSA Review" sheetId="4" r:id="rId1"/>
    <sheet name="HODASSA Projects" sheetId="5" r:id="rId2"/>
    <sheet name="HODASSA Costs" sheetId="6" r:id="rId3"/>
    <sheet name="HODASSA Calculations" sheetId="7" r:id="rId4"/>
    <sheet name="HODASSA Checks" sheetId="9" r:id="rId5"/>
    <sheet name="HODASSA Admin" sheetId="8" state="hidden" r:id="rId6"/>
  </sheets>
  <definedNames>
    <definedName name="hdCostIDs">hdCosts[Cost ID]</definedName>
    <definedName name="hdDateValid">IFERROR(AND(ISNUMBER(hdReportDate),hdReportDate=INT(hdReportDate),hdReportDate&gt;=DATE(1900,1,1),hdReportDate&lt;=DATE(9999,12,31)),FALSE)</definedName>
    <definedName name="hdProjectIDs">hdProjects[Job ID]</definedName>
    <definedName name="hdReportDate">'HODASSA Review'!$D$4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9" l="1"/>
  <c r="B16" i="9"/>
  <c r="B10" i="9"/>
  <c r="B11" i="9" s="1" a="1"/>
  <c r="C10" i="9" a="1"/>
  <c r="B9" i="9"/>
  <c r="B8" i="9"/>
  <c r="M7" i="7" a="1"/>
  <c r="B8" i="4" s="1"/>
  <c r="J19" i="7" a="1"/>
  <c r="U19" i="7" a="1"/>
  <c r="H19" i="7" a="1"/>
  <c r="L19" i="7" a="1"/>
  <c r="A4" i="7" a="1"/>
  <c r="B11" i="7" a="1"/>
  <c r="T19" i="7" a="1"/>
  <c r="S19" i="7" a="1"/>
  <c r="R19" i="7" a="1"/>
  <c r="Q19" i="7" a="1"/>
  <c r="P19" i="7" a="1"/>
  <c r="O19" i="7" a="1"/>
  <c r="N19" i="7" a="1"/>
  <c r="M19" i="7" a="1"/>
  <c r="G19" i="7" a="1"/>
  <c r="F19" i="7" a="1"/>
  <c r="E19" i="7" a="1"/>
  <c r="D19" i="7" a="1"/>
  <c r="C19" i="7" a="1"/>
  <c r="B19" i="7" a="1"/>
  <c r="A19" i="7" a="1"/>
  <c r="B16" i="4" l="1" a="1"/>
  <c r="D10" i="9"/>
  <c r="E10" i="9" s="1"/>
  <c r="C8" i="9"/>
  <c r="D8" i="9" s="1"/>
  <c r="E8" i="9" s="1"/>
  <c r="C9" i="9"/>
  <c r="D9" i="9" s="1"/>
  <c r="E9" i="9" s="1"/>
  <c r="B12" i="9"/>
  <c r="C16" i="4" a="1"/>
  <c r="N7" i="7"/>
  <c r="C8" i="4" s="1"/>
  <c r="B8" i="7"/>
  <c r="C11" i="4" s="1"/>
  <c r="I19" i="7" a="1"/>
  <c r="B10" i="7"/>
  <c r="E11" i="4" s="1"/>
  <c r="V19" i="7" l="1" a="1"/>
  <c r="B7" i="7"/>
  <c r="B9" i="7"/>
  <c r="D11" i="4" s="1"/>
  <c r="K19" i="7" a="1"/>
  <c r="C11" i="9" l="1"/>
  <c r="D11" i="9" s="1"/>
  <c r="E11" i="9" s="1"/>
  <c r="B11" i="4"/>
  <c r="B13" i="7"/>
  <c r="AD19" i="7" a="1"/>
  <c r="B12" i="7"/>
  <c r="W19" i="7" a="1"/>
  <c r="C12" i="9" l="1"/>
  <c r="D12" i="9" s="1"/>
  <c r="E12" i="9" s="1"/>
  <c r="B13" i="9"/>
  <c r="X19" i="7" a="1"/>
  <c r="B14" i="9" l="1"/>
  <c r="D16" i="4" a="1"/>
  <c r="O7" i="7"/>
  <c r="D8" i="4" s="1"/>
  <c r="Y19" i="7" a="1"/>
  <c r="P7" i="7" s="1"/>
  <c r="AF18" i="7" l="1" a="1"/>
  <c r="AF14" i="7"/>
  <c r="B15" i="9"/>
  <c r="B18" i="9"/>
  <c r="E16" i="4" a="1"/>
  <c r="Z19" i="7" a="1"/>
  <c r="AB19" i="7" a="1"/>
  <c r="C18" i="9" l="1" a="1"/>
  <c r="D18" i="9" s="1"/>
  <c r="E18" i="9" s="1"/>
  <c r="AJ18" i="7" a="1"/>
  <c r="AJ14" i="7"/>
  <c r="E8" i="4"/>
  <c r="C13" i="9"/>
  <c r="D13" i="9" s="1"/>
  <c r="E13" i="9" s="1"/>
  <c r="Q7" i="7"/>
  <c r="B19" i="9"/>
  <c r="F16" i="4" a="1"/>
  <c r="G11" i="4"/>
  <c r="AC19" i="7" a="1"/>
  <c r="AA19" i="7" a="1"/>
  <c r="C19" i="9" l="1" a="1"/>
  <c r="D19" i="9" s="1"/>
  <c r="E19" i="9" s="1"/>
  <c r="C17" i="9"/>
  <c r="D17" i="9" s="1"/>
  <c r="E17" i="9" s="1"/>
  <c r="G16" i="4" a="1"/>
  <c r="F8" i="4"/>
  <c r="C14" i="9"/>
  <c r="D14" i="9" s="1"/>
  <c r="E14" i="9" s="1"/>
  <c r="R7" i="7"/>
  <c r="F11" i="4"/>
  <c r="B13" i="4" s="1"/>
  <c r="H16" i="4" a="1"/>
  <c r="G8" i="4" l="1"/>
  <c r="C16" i="9" s="1" a="1"/>
  <c r="D16" i="9" s="1"/>
  <c r="E16" i="9" s="1"/>
  <c r="C15" i="9"/>
  <c r="D15" i="9" s="1"/>
  <c r="E15" i="9" s="1"/>
  <c r="B4" i="9" l="1"/>
  <c r="B5" i="4" s="1" a="1"/>
  <c r="B5" i="9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tc={8DA21B42-60F8-4C40-AB57-203034A0E312}</author>
  </authors>
  <commentList>
    <comment ref="D4" authorId="0" shapeId="0" xr:uid="{8DA21B42-60F8-4C40-AB57-203034A0E31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original Portfolio!B4 cutoff, 30 September 2026. Single reporting-date control for revised calculations. Changing it changes actual-cost eligibility; refresh remaining POs and ETC to the same date.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Fábio</author>
    <author>tc={4950E050-462A-40A5-92A4-68A4F3417FCC}</author>
    <author>tc={DE98D159-BEF2-4040-997E-09E7907C0F59}</author>
    <author>tc={7A5D9229-9275-4548-8E68-883B2397E7D4}</author>
    <author>tc={BEF0BBC4-E5D6-4D8B-8FB6-5A681C17322A}</author>
    <author>tc={58BF0E6B-2FB5-419D-B661-8B6A32845138}</author>
    <author>tc={1DD36138-91FB-43C8-B050-4D17ABBD7380}</author>
    <author>tc={ED647BAA-DFB5-43A7-AE34-730B424EC196}</author>
    <author>tc={541D990A-7E1A-4742-8CDE-332FD6941A3B}</author>
    <author>tc={24C21B9B-1875-43C0-9392-D0565CB09AC0}</author>
    <author>tc={EBD48183-1712-40AB-98A7-EF9C1D1D86E0}</author>
    <author>tc={C70DE9B7-A8C1-49E8-994A-416AFB0EBEC9}</author>
    <author>tc={B7957C1F-D581-4C79-ACB1-96466F44AFA5}</author>
    <author>tc={068AE91B-6162-4A81-A1CC-71A590E709E0}</author>
    <author>tc={EF52622B-2A4E-422A-8861-31B6354EC250}</author>
    <author>tc={029F6A19-E142-4DC1-A799-9E304BE96423}</author>
    <author>tc={BD8074E0-1EF0-47D6-B5BB-333C5158601B}</author>
    <author>tc={32D39439-9D42-4814-BE1A-EC6E33E93E2F}</author>
    <author>tc={0A17689D-C037-4ADF-AC35-44789762B42F}</author>
    <author>tc={CF936E17-E335-4E2A-AB36-D1CF3BDB5059}</author>
    <author>tc={230B2A59-585C-422F-8195-0CDE446AB997}</author>
    <author>tc={4E3D39D1-528F-44F1-BDD9-F6B1F23E4FE7}</author>
    <author>tc={8AEE8E0C-EE37-4CF5-836A-0116449ED15C}</author>
    <author>tc={9C0F432E-8DC8-4A59-8D41-8D0CBF3202BA}</author>
    <author>tc={60CB3507-7682-4620-A18E-98B57083012A}</author>
    <author>tc={5337A3E8-18BD-4D26-B660-B799FBFFA0F1}</author>
    <author>tc={6010E333-5F1C-49F3-846B-CB7F10B7E904}</author>
    <author>tc={689E6C59-2F8A-473F-8F72-E030B33EAEFD}</author>
    <author>tc={48AB75BD-E5D9-4128-98AA-0111104BE504}</author>
    <author>tc={BF9E1668-7519-488A-8ED9-1871F18A0239}</author>
    <author>tc={C1F310DF-9A3A-4B62-94B5-098E125666F0}</author>
    <author>tc={F5910E6C-E002-438C-B068-759F986A8BE7}</author>
    <author>tc={7121706B-AFCB-4D31-A51D-77868B6ED1BB}</author>
    <author>tc={7C09B3C6-9933-4AE7-97CA-F5A91271266C}</author>
    <author>tc={8798F93C-C532-4AEC-A779-F543F1C4C043}</author>
    <author>tc={BA472979-9C1A-4642-96F9-E843F5432D2E}</author>
    <author>tc={99673093-83C1-494B-8EE0-C674FA790DE4}</author>
    <author>tc={FAE07A9A-1D41-4E38-AEF4-CE546E8865A5}</author>
    <author>tc={8279BA34-4515-4030-B1EA-B32E2ED03322}</author>
    <author>tc={90D3A351-11F0-4540-8514-431BF742781B}</author>
  </authors>
  <commentList>
    <comment ref="G6" authorId="0" shapeId="0" xr:uid="{B093E97A-82B0-4975-BE3E-4658076F0BEE}">
      <text>
        <r>
          <rPr>
            <b/>
            <sz val="9"/>
            <color indexed="81"/>
            <rFont val="Tahoma"/>
            <charset val="1"/>
          </rPr>
          <t>Fábio:</t>
        </r>
        <r>
          <rPr>
            <sz val="9"/>
            <color indexed="81"/>
            <rFont val="Tahoma"/>
            <charset val="1"/>
          </rPr>
          <t xml:space="preserve">
Remaining purchase order balance only, as of the reporting date. Reduce this balance when the related cost is recognised as an actual; do not include the full original PO.</t>
        </r>
      </text>
    </comment>
    <comment ref="H6" authorId="0" shapeId="0" xr:uid="{0BD0F62C-59C1-4215-AABE-5EC34EADDF83}">
      <text>
        <r>
          <rPr>
            <b/>
            <sz val="9"/>
            <color indexed="81"/>
            <rFont val="Tahoma"/>
            <charset val="1"/>
          </rPr>
          <t>Fábio:</t>
        </r>
        <r>
          <rPr>
            <sz val="9"/>
            <color indexed="81"/>
            <rFont val="Tahoma"/>
            <charset val="1"/>
          </rPr>
          <t xml:space="preserve">
Estimated future costs not yet actual and not already included in remaining purchase orders. Blank means unknown/incomplete. Enter a numeric 0 only if no unplaced work remains.</t>
        </r>
      </text>
    </comment>
    <comment ref="A7" authorId="0" shapeId="0" xr:uid="{0B570128-210F-4802-96CC-369C325937DF}">
      <text>
        <r>
          <rPr>
            <b/>
            <sz val="9"/>
            <color indexed="81"/>
            <rFont val="Tahoma"/>
            <charset val="1"/>
          </rPr>
          <t>Fábio:</t>
        </r>
        <r>
          <rPr>
            <sz val="9"/>
            <color indexed="81"/>
            <rFont val="Tahoma"/>
            <charset val="1"/>
          </rPr>
          <t xml:space="preserve">
Source: supplied HODASSA fictional contractor demonstration, original Projects!A7:H11. All 5 sample projects copied unchanged; baseline reporting date 30 September 2026.</t>
        </r>
      </text>
    </comment>
    <comment ref="B7" authorId="1" shapeId="0" xr:uid="{4950E050-462A-40A5-92A4-68A4F3417FCC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Projects!B7 | Baseline 30 September 2026 | Editable project input.</t>
      </text>
    </comment>
    <comment ref="C7" authorId="2" shapeId="0" xr:uid="{DE98D159-BEF2-4040-997E-09E7907C0F5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Projects!C7 | Baseline 30 September 2026 | Editable project input.</t>
      </text>
    </comment>
    <comment ref="D7" authorId="3" shapeId="0" xr:uid="{7A5D9229-9275-4548-8E68-883B2397E7D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Projects!D7 | Baseline 30 September 2026 | Editable project input.</t>
      </text>
    </comment>
    <comment ref="E7" authorId="4" shapeId="0" xr:uid="{BEF0BBC4-E5D6-4D8B-8FB6-5A681C17322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Projects!E7 | Baseline 30 September 2026 | Editable project input.</t>
      </text>
    </comment>
    <comment ref="F7" authorId="5" shapeId="0" xr:uid="{58BF0E6B-2FB5-419D-B661-8B6A3284513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Projects!F7 | Baseline 30 September 2026 | Editable project input.</t>
      </text>
    </comment>
    <comment ref="G7" authorId="6" shapeId="0" xr:uid="{1DD36138-91FB-43C8-B050-4D17ABBD738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Projects!G7 | Baseline 30 September 2026 | Editable project input.</t>
      </text>
    </comment>
    <comment ref="H7" authorId="7" shapeId="0" xr:uid="{ED647BAA-DFB5-43A7-AE34-730B424EC19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Projects!H7 | Baseline 30 September 2026 | Editable project input.</t>
      </text>
    </comment>
    <comment ref="A8" authorId="8" shapeId="0" xr:uid="{541D990A-7E1A-4742-8CDE-332FD6941A3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Projects!A8 | Baseline 30 September 2026 | Editable project input.</t>
      </text>
    </comment>
    <comment ref="B8" authorId="9" shapeId="0" xr:uid="{24C21B9B-1875-43C0-9392-D0565CB09AC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Projects!B8 | Baseline 30 September 2026 | Editable project input.</t>
      </text>
    </comment>
    <comment ref="C8" authorId="10" shapeId="0" xr:uid="{EBD48183-1712-40AB-98A7-EF9C1D1D86E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Projects!C8 | Baseline 30 September 2026 | Editable project input.</t>
      </text>
    </comment>
    <comment ref="D8" authorId="11" shapeId="0" xr:uid="{C70DE9B7-A8C1-49E8-994A-416AFB0EBEC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Projects!D8 | Baseline 30 September 2026 | Editable project input.</t>
      </text>
    </comment>
    <comment ref="E8" authorId="12" shapeId="0" xr:uid="{B7957C1F-D581-4C79-ACB1-96466F44AFA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Projects!E8 | Baseline 30 September 2026 | Editable project input.</t>
      </text>
    </comment>
    <comment ref="F8" authorId="13" shapeId="0" xr:uid="{068AE91B-6162-4A81-A1CC-71A590E709E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Projects!F8 | Baseline 30 September 2026 | Editable project input.</t>
      </text>
    </comment>
    <comment ref="G8" authorId="14" shapeId="0" xr:uid="{EF52622B-2A4E-422A-8861-31B6354EC25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Projects!G8 | Baseline 30 September 2026 | Editable project input.</t>
      </text>
    </comment>
    <comment ref="H8" authorId="15" shapeId="0" xr:uid="{029F6A19-E142-4DC1-A799-9E304BE96423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Projects!H8 | Baseline 30 September 2026 | Editable project input.</t>
      </text>
    </comment>
    <comment ref="A9" authorId="16" shapeId="0" xr:uid="{BD8074E0-1EF0-47D6-B5BB-333C5158601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Projects!A9 | Baseline 30 September 2026 | Editable project input.</t>
      </text>
    </comment>
    <comment ref="B9" authorId="17" shapeId="0" xr:uid="{32D39439-9D42-4814-BE1A-EC6E33E93E2F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Projects!B9 | Baseline 30 September 2026 | Editable project input.</t>
      </text>
    </comment>
    <comment ref="C9" authorId="18" shapeId="0" xr:uid="{0A17689D-C037-4ADF-AC35-44789762B42F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Projects!C9 | Baseline 30 September 2026 | Editable project input.</t>
      </text>
    </comment>
    <comment ref="D9" authorId="19" shapeId="0" xr:uid="{CF936E17-E335-4E2A-AB36-D1CF3BDB505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Projects!D9 | Baseline 30 September 2026 | Editable project input.</t>
      </text>
    </comment>
    <comment ref="E9" authorId="20" shapeId="0" xr:uid="{230B2A59-585C-422F-8195-0CDE446AB99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Projects!E9 | Baseline 30 September 2026 | Editable project input.</t>
      </text>
    </comment>
    <comment ref="F9" authorId="21" shapeId="0" xr:uid="{4E3D39D1-528F-44F1-BDD9-F6B1F23E4FE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Projects!F9 | Baseline 30 September 2026 | Editable project input.</t>
      </text>
    </comment>
    <comment ref="G9" authorId="22" shapeId="0" xr:uid="{8AEE8E0C-EE37-4CF5-836A-0116449ED15C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Projects!G9 | Baseline 30 September 2026 | Editable project input.</t>
      </text>
    </comment>
    <comment ref="H9" authorId="23" shapeId="0" xr:uid="{9C0F432E-8DC8-4A59-8D41-8D0CBF3202B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Projects!H9 | Baseline 30 September 2026 | Editable project input.</t>
      </text>
    </comment>
    <comment ref="A10" authorId="24" shapeId="0" xr:uid="{60CB3507-7682-4620-A18E-98B57083012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Projects!A10 | Baseline 30 September 2026 | Editable project input.</t>
      </text>
    </comment>
    <comment ref="B10" authorId="25" shapeId="0" xr:uid="{5337A3E8-18BD-4D26-B660-B799FBFFA0F1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Projects!B10 | Baseline 30 September 2026 | Editable project input.</t>
      </text>
    </comment>
    <comment ref="C10" authorId="26" shapeId="0" xr:uid="{6010E333-5F1C-49F3-846B-CB7F10B7E90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Projects!C10 | Baseline 30 September 2026 | Editable project input.</t>
      </text>
    </comment>
    <comment ref="D10" authorId="27" shapeId="0" xr:uid="{689E6C59-2F8A-473F-8F72-E030B33EAEFD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Projects!D10 | Baseline 30 September 2026 | Editable project input.</t>
      </text>
    </comment>
    <comment ref="E10" authorId="28" shapeId="0" xr:uid="{48AB75BD-E5D9-4128-98AA-0111104BE50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Projects!E10 | Baseline 30 September 2026 | Editable project input.</t>
      </text>
    </comment>
    <comment ref="F10" authorId="29" shapeId="0" xr:uid="{BF9E1668-7519-488A-8ED9-1871F18A023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Projects!F10 | Baseline 30 September 2026 | Editable project input.</t>
      </text>
    </comment>
    <comment ref="G10" authorId="30" shapeId="0" xr:uid="{C1F310DF-9A3A-4B62-94B5-098E125666F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Projects!G10 | Baseline 30 September 2026 | Editable project input.</t>
      </text>
    </comment>
    <comment ref="H10" authorId="31" shapeId="0" xr:uid="{F5910E6C-E002-438C-B068-759F986A8BE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Projects!H10 | Baseline 30 September 2026 | Editable project input.</t>
      </text>
    </comment>
    <comment ref="A11" authorId="32" shapeId="0" xr:uid="{7121706B-AFCB-4D31-A51D-77868B6ED1B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Projects!A11 | Baseline 30 September 2026 | Editable project input.</t>
      </text>
    </comment>
    <comment ref="B11" authorId="33" shapeId="0" xr:uid="{7C09B3C6-9933-4AE7-97CA-F5A91271266C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Projects!B11 | Baseline 30 September 2026 | Editable project input.</t>
      </text>
    </comment>
    <comment ref="C11" authorId="34" shapeId="0" xr:uid="{8798F93C-C532-4AEC-A779-F543F1C4C043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Projects!C11 | Baseline 30 September 2026 | Editable project input.</t>
      </text>
    </comment>
    <comment ref="D11" authorId="35" shapeId="0" xr:uid="{BA472979-9C1A-4642-96F9-E843F5432D2E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Projects!D11 | Baseline 30 September 2026 | Editable project input.</t>
      </text>
    </comment>
    <comment ref="E11" authorId="36" shapeId="0" xr:uid="{99673093-83C1-494B-8EE0-C674FA790DE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Projects!E11 | Baseline 30 September 2026 | Editable project input.</t>
      </text>
    </comment>
    <comment ref="F11" authorId="37" shapeId="0" xr:uid="{FAE07A9A-1D41-4E38-AEF4-CE546E8865A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Projects!F11 | Baseline 30 September 2026 | Editable project input.</t>
      </text>
    </comment>
    <comment ref="G11" authorId="38" shapeId="0" xr:uid="{8279BA34-4515-4030-B1EA-B32E2ED0332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Projects!G11 | Baseline 30 September 2026 | Editable project input.</t>
      </text>
    </comment>
    <comment ref="H11" authorId="39" shapeId="0" xr:uid="{90D3A351-11F0-4540-8514-431BF742781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Projects!H11 | Baseline 30 September 2026 | Editable project input.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Fábio</author>
    <author>tc={E2FF747B-1E06-48B3-B41A-FFC58ADD46A3}</author>
    <author>tc={7C38055A-D1E7-4EA4-A795-833B5B6840EA}</author>
    <author>tc={9B0494E6-9A96-462F-B8CA-1F7D2E40F7F2}</author>
    <author>tc={96CB40BD-BF98-4319-A415-9B1C6B87EDF5}</author>
    <author>tc={1A672038-FC73-49D6-B286-A5F6C3459958}</author>
    <author>tc={EFA6F61A-0A39-45FE-B0B8-8659054CA8DB}</author>
    <author>tc={6095E23D-F854-4821-99B7-19D5C1BEA4A7}</author>
    <author>tc={55B3E635-67D5-4F2D-B52C-1744B08E76F4}</author>
    <author>tc={87A573BD-FDFC-4CED-9487-0DCEBBB82207}</author>
    <author>tc={858B784F-9B38-43FE-A09E-EF77E0237566}</author>
    <author>tc={CB7CF368-00D5-4EA8-A016-873C843E87F8}</author>
    <author>tc={514659B0-14F4-4B16-9F86-4CFA34B81F81}</author>
    <author>tc={D2FB0FE0-5611-46A6-B321-174755B62F77}</author>
    <author>tc={55D4C1FE-5305-4C35-A764-9E24D9C5E096}</author>
    <author>tc={676ACE55-3E8A-4460-8323-ACAD58EDA039}</author>
    <author>tc={3FBD8246-C2B5-458B-81CD-B9A9F16AC046}</author>
    <author>tc={F1F81B5F-2B4B-4A7D-9AE4-9A9939B9B62A}</author>
    <author>tc={CD2F1071-7AC0-4D44-A3BF-D88FEC77A35C}</author>
    <author>tc={96A3CDED-3E8C-491B-B03B-2C0F3477B30C}</author>
    <author>tc={4A81473A-CA47-482D-8D74-818481C97E1D}</author>
    <author>tc={432FC8B5-FFFF-4EE6-BAFF-E41AEACD7E32}</author>
    <author>tc={752461A8-CA41-4A71-A0BD-CC6B14BB860E}</author>
    <author>tc={B6BB773F-76FE-456A-9EE0-E8F1234CA3AE}</author>
    <author>tc={225429D8-9C02-474B-BE74-55C1FBECD3AD}</author>
    <author>tc={8A8D0C77-3358-4136-9D0D-87AA2C1F14C4}</author>
    <author>tc={FFD565D1-F516-40F5-BF91-CA74B791638A}</author>
    <author>tc={AE059946-4839-4397-8D91-EE2C8385E398}</author>
    <author>tc={C3A1A60C-C92B-453B-8ABF-9EC03EF23CFB}</author>
    <author>tc={218192D2-153E-4D29-93CD-EA36B402FB47}</author>
    <author>tc={8A10BCC8-2C31-43F3-A8D6-2386523BD1E6}</author>
    <author>tc={95C5C339-158E-499B-BFDE-1428847C8F75}</author>
    <author>tc={8FEBC17C-13F4-4F70-A42E-111AD3D44E10}</author>
    <author>tc={C1104B9C-F41F-4FBD-9769-D9CADC356BBB}</author>
    <author>tc={A0E191E8-AA90-40D7-A0FD-79A71C627DC9}</author>
    <author>tc={C071C4CF-717A-429E-94A4-6A8D2FD36358}</author>
    <author>tc={115C6088-D4B0-4752-87A2-5582902548D2}</author>
    <author>tc={A89A8883-A111-40EE-96B2-A1B36ADF1AE6}</author>
    <author>tc={C7F6F485-E2AB-48D6-AAF9-0478705AFDF8}</author>
    <author>tc={D757344A-E0A0-4F1E-9376-C0438B3E7B34}</author>
    <author>tc={DD3F596C-C93B-40A8-BB3E-6F07CAC0B29B}</author>
    <author>tc={6FA93824-D399-421C-9FA8-05F7F8C92C8D}</author>
    <author>tc={718EF36B-3409-493E-8D69-BA53CFDBE7A1}</author>
    <author>tc={67988CEA-DFEE-48AB-A413-90F2C48FD4ED}</author>
    <author>tc={01004A3F-DB70-475B-BC97-90F7C59A6B2A}</author>
    <author>tc={83CEB011-AAF2-463A-AE37-579DC23436C3}</author>
    <author>tc={7A4A7186-9E3A-4FBC-A339-80B7CB4C2620}</author>
    <author>tc={ACC00AC7-3AED-444A-B231-6B4F1D763A85}</author>
    <author>tc={F9905FBE-1C15-402F-A00C-562F252F988F}</author>
    <author>tc={83CBBFAE-7FCA-4041-B856-DEE1C0391433}</author>
    <author>tc={AAF25346-E659-4B5C-8F17-36297DB9C652}</author>
    <author>tc={8F38F2AE-1360-447A-A29E-E00DE80C6370}</author>
    <author>tc={33953C5F-40CA-469F-A051-20B9CFAF4414}</author>
    <author>tc={A049E0F2-8BA1-4339-AEFB-090CB8BB8A1B}</author>
    <author>tc={6555935D-B593-4484-9CC4-08252561A46F}</author>
    <author>tc={9946DE7E-5319-4119-9347-ACD79CD06038}</author>
    <author>tc={BD28A8F1-B2A5-4D44-A0E1-23E80593C24B}</author>
    <author>tc={C5E43AFC-FCD1-4117-B453-C100F9F9D38E}</author>
    <author>tc={AB171154-1D06-4AD8-8EB3-E0767272BDDB}</author>
    <author>tc={63115271-3A4B-4AED-B06E-6436FB46A8FB}</author>
    <author>tc={3FDC5729-8CA2-4149-B4AC-5F764C521E38}</author>
    <author>tc={B553C006-DBEC-473E-8ECC-D6DF8AEB84AE}</author>
    <author>tc={8CF64672-1A41-4556-AF44-5E61A45EEAEC}</author>
    <author>tc={D3CE5A06-6B2F-4F3F-AB35-469C0F331CC2}</author>
    <author>tc={B739FFA4-8AE2-46B8-85B7-91603DFF79A9}</author>
    <author>tc={C6F8F39E-CE68-4707-8C48-B08A20D36BA9}</author>
    <author>tc={1916E814-120A-4982-A561-4BA37CFBAACD}</author>
    <author>tc={73161B18-653D-4E84-B6F0-275F89F7FE0B}</author>
    <author>tc={CE34FC5C-39BE-4BC6-B75F-D11B87D4DF2C}</author>
    <author>tc={EAEDD9AA-4F3F-4469-AD24-ED29EF5A5B25}</author>
    <author>tc={CCFA029E-39C0-4A6E-B9F2-9A801F23C1B8}</author>
    <author>tc={B1F5770C-E6B4-41A9-B639-E976A2C0141D}</author>
    <author>tc={2A5F511C-C249-4CDC-B8E6-5672580F7E71}</author>
    <author>tc={CEB23875-4F7B-44D3-8EAA-EF0F2425AC08}</author>
    <author>tc={7C41A110-A91D-4EC7-912D-6AE5C907ECF9}</author>
    <author>tc={77985BC6-024B-4E86-AC4F-0B8053D4DA49}</author>
    <author>tc={609A0AF9-0BE7-4F50-A8DD-5DBB0033A1BE}</author>
    <author>tc={A3CE710A-8E2A-4C76-BFD7-DAB02F5D830A}</author>
    <author>tc={A960B3AF-F900-46DC-BE88-6925F3CA2235}</author>
    <author>tc={1B1173E8-96B6-4CF7-BCEF-1B04A02DA3D9}</author>
    <author>tc={69677E50-6EE7-475A-AD7D-433DED3F6265}</author>
    <author>tc={A7F7D941-C82B-4B86-A96F-F731C315B7EF}</author>
    <author>tc={3D8A7FB6-EC1D-4B95-9890-52DF831F8667}</author>
    <author>tc={5D810D55-2699-4ECF-B3B7-A21A8E840FE9}</author>
    <author>tc={696766BB-539F-41FA-B46B-2E5FD52F6883}</author>
    <author>tc={084AD31E-94C3-43A2-A1EB-59D8EA3B2CF0}</author>
    <author>tc={4FCAD334-E386-4EFF-953C-EDD96DDEBFAB}</author>
    <author>tc={F2E2E980-2628-4D13-B2EA-E9860338A2DF}</author>
    <author>tc={8D3FD132-1978-487D-B6A5-663402A6E5C6}</author>
    <author>tc={DE372CE4-6101-4141-B12D-72C637B199E8}</author>
  </authors>
  <commentList>
    <comment ref="B6" authorId="0" shapeId="0" xr:uid="{11EB51ED-ED21-4754-92A8-E036157FC7A8}">
      <text>
        <r>
          <rPr>
            <b/>
            <sz val="9"/>
            <color indexed="81"/>
            <rFont val="Tahoma"/>
            <charset val="1"/>
          </rPr>
          <t>Fábio:</t>
        </r>
        <r>
          <rPr>
            <sz val="9"/>
            <color indexed="81"/>
            <rFont val="Tahoma"/>
            <charset val="1"/>
          </rPr>
          <t xml:space="preserve">
Actuals include valid records dated on or before the one reporting date on HODASSA Review!D4. Valid later dates are AFTER DATE rather than invalid. Incomplete or invalid later-dated records still require review.</t>
        </r>
      </text>
    </comment>
    <comment ref="C6" authorId="0" shapeId="0" xr:uid="{A5358B94-99E1-449A-BBBB-82137A25CAE9}">
      <text>
        <r>
          <rPr>
            <b/>
            <sz val="9"/>
            <color indexed="81"/>
            <rFont val="Tahoma"/>
            <charset val="1"/>
          </rPr>
          <t>Fábio:</t>
        </r>
        <r>
          <rPr>
            <sz val="9"/>
            <color indexed="81"/>
            <rFont val="Tahoma"/>
            <charset val="1"/>
          </rPr>
          <t xml:space="preserve">
Select a Job ID from the expandable project register. Missing, unknown or ambiguous IDs prevent reliable allocation and block portfolio forecasts until corrected.</t>
        </r>
      </text>
    </comment>
    <comment ref="A7" authorId="0" shapeId="0" xr:uid="{A48A8459-FE81-4BBF-80D5-01B2E4C52405}">
      <text>
        <r>
          <rPr>
            <b/>
            <sz val="9"/>
            <color indexed="81"/>
            <rFont val="Tahoma"/>
            <charset val="1"/>
          </rPr>
          <t>Fábio:</t>
        </r>
        <r>
          <rPr>
            <sz val="9"/>
            <color indexed="81"/>
            <rFont val="Tahoma"/>
            <charset val="1"/>
          </rPr>
          <t xml:space="preserve">
Source: supplied HODASSA fictional contractor demonstration, original Cost log!A7:F21. All 15 sample cost records copied unchanged. Costs are quantity × rate, rounded to pence, GBP excluding VAT.</t>
        </r>
      </text>
    </comment>
    <comment ref="B7" authorId="1" shapeId="0" xr:uid="{E2FF747B-1E06-48B3-B41A-FFC58ADD46A3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log!B7 | Baseline 30 September 2026 | Editable cost input; GBP excluding VAT.</t>
      </text>
    </comment>
    <comment ref="C7" authorId="2" shapeId="0" xr:uid="{7C38055A-D1E7-4EA4-A795-833B5B6840E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log!C7 | Baseline 30 September 2026 | Editable cost input; GBP excluding VAT.</t>
      </text>
    </comment>
    <comment ref="D7" authorId="3" shapeId="0" xr:uid="{9B0494E6-9A96-462F-B8CA-1F7D2E40F7F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log!D7 | Baseline 30 September 2026 | Editable cost input; GBP excluding VAT.</t>
      </text>
    </comment>
    <comment ref="E7" authorId="4" shapeId="0" xr:uid="{96CB40BD-BF98-4319-A415-9B1C6B87EDF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log!E7 | Baseline 30 September 2026 | Editable cost input; GBP excluding VAT.</t>
      </text>
    </comment>
    <comment ref="F7" authorId="5" shapeId="0" xr:uid="{1A672038-FC73-49D6-B286-A5F6C345995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log!F7 | Baseline 30 September 2026 | Editable cost input; GBP excluding VAT.</t>
      </text>
    </comment>
    <comment ref="A8" authorId="6" shapeId="0" xr:uid="{EFA6F61A-0A39-45FE-B0B8-8659054CA8D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log!A8 | Baseline 30 September 2026 | Editable cost input; GBP excluding VAT.</t>
      </text>
    </comment>
    <comment ref="B8" authorId="7" shapeId="0" xr:uid="{6095E23D-F854-4821-99B7-19D5C1BEA4A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log!B8 | Baseline 30 September 2026 | Editable cost input; GBP excluding VAT.</t>
      </text>
    </comment>
    <comment ref="C8" authorId="8" shapeId="0" xr:uid="{55B3E635-67D5-4F2D-B52C-1744B08E76F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log!C8 | Baseline 30 September 2026 | Editable cost input; GBP excluding VAT.</t>
      </text>
    </comment>
    <comment ref="D8" authorId="9" shapeId="0" xr:uid="{87A573BD-FDFC-4CED-9487-0DCEBBB8220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log!D8 | Baseline 30 September 2026 | Editable cost input; GBP excluding VAT.</t>
      </text>
    </comment>
    <comment ref="E8" authorId="10" shapeId="0" xr:uid="{858B784F-9B38-43FE-A09E-EF77E023756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log!E8 | Baseline 30 September 2026 | Editable cost input; GBP excluding VAT.</t>
      </text>
    </comment>
    <comment ref="F8" authorId="11" shapeId="0" xr:uid="{CB7CF368-00D5-4EA8-A016-873C843E87F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log!F8 | Baseline 30 September 2026 | Editable cost input; GBP excluding VAT.</t>
      </text>
    </comment>
    <comment ref="A9" authorId="12" shapeId="0" xr:uid="{514659B0-14F4-4B16-9F86-4CFA34B81F81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log!A9 | Baseline 30 September 2026 | Editable cost input; GBP excluding VAT.</t>
      </text>
    </comment>
    <comment ref="B9" authorId="13" shapeId="0" xr:uid="{D2FB0FE0-5611-46A6-B321-174755B62F7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log!B9 | Baseline 30 September 2026 | Editable cost input; GBP excluding VAT.</t>
      </text>
    </comment>
    <comment ref="C9" authorId="14" shapeId="0" xr:uid="{55D4C1FE-5305-4C35-A764-9E24D9C5E09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log!C9 | Baseline 30 September 2026 | Editable cost input; GBP excluding VAT.</t>
      </text>
    </comment>
    <comment ref="D9" authorId="15" shapeId="0" xr:uid="{676ACE55-3E8A-4460-8323-ACAD58EDA03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log!D9 | Baseline 30 September 2026 | Editable cost input; GBP excluding VAT.</t>
      </text>
    </comment>
    <comment ref="E9" authorId="16" shapeId="0" xr:uid="{3FBD8246-C2B5-458B-81CD-B9A9F16AC04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log!E9 | Baseline 30 September 2026 | Editable cost input; GBP excluding VAT.</t>
      </text>
    </comment>
    <comment ref="F9" authorId="17" shapeId="0" xr:uid="{F1F81B5F-2B4B-4A7D-9AE4-9A9939B9B62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log!F9 | Baseline 30 September 2026 | Editable cost input; GBP excluding VAT.</t>
      </text>
    </comment>
    <comment ref="A10" authorId="18" shapeId="0" xr:uid="{CD2F1071-7AC0-4D44-A3BF-D88FEC77A35C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log!A10 | Baseline 30 September 2026 | Editable cost input; GBP excluding VAT.</t>
      </text>
    </comment>
    <comment ref="B10" authorId="19" shapeId="0" xr:uid="{96A3CDED-3E8C-491B-B03B-2C0F3477B30C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log!B10 | Baseline 30 September 2026 | Editable cost input; GBP excluding VAT.</t>
      </text>
    </comment>
    <comment ref="C10" authorId="20" shapeId="0" xr:uid="{4A81473A-CA47-482D-8D74-818481C97E1D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log!C10 | Baseline 30 September 2026 | Editable cost input; GBP excluding VAT.</t>
      </text>
    </comment>
    <comment ref="D10" authorId="21" shapeId="0" xr:uid="{432FC8B5-FFFF-4EE6-BAFF-E41AEACD7E3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log!D10 | Baseline 30 September 2026 | Editable cost input; GBP excluding VAT.</t>
      </text>
    </comment>
    <comment ref="E10" authorId="22" shapeId="0" xr:uid="{752461A8-CA41-4A71-A0BD-CC6B14BB860E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log!E10 | Baseline 30 September 2026 | Editable cost input; GBP excluding VAT.</t>
      </text>
    </comment>
    <comment ref="F10" authorId="23" shapeId="0" xr:uid="{B6BB773F-76FE-456A-9EE0-E8F1234CA3AE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log!F10 | Baseline 30 September 2026 | Editable cost input; GBP excluding VAT.</t>
      </text>
    </comment>
    <comment ref="A11" authorId="24" shapeId="0" xr:uid="{225429D8-9C02-474B-BE74-55C1FBECD3AD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log!A11 | Baseline 30 September 2026 | Editable cost input; GBP excluding VAT.</t>
      </text>
    </comment>
    <comment ref="B11" authorId="25" shapeId="0" xr:uid="{8A8D0C77-3358-4136-9D0D-87AA2C1F14C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log!B11 | Baseline 30 September 2026 | Editable cost input; GBP excluding VAT.</t>
      </text>
    </comment>
    <comment ref="C11" authorId="26" shapeId="0" xr:uid="{FFD565D1-F516-40F5-BF91-CA74B791638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log!C11 | Baseline 30 September 2026 | Editable cost input; GBP excluding VAT.</t>
      </text>
    </comment>
    <comment ref="D11" authorId="27" shapeId="0" xr:uid="{AE059946-4839-4397-8D91-EE2C8385E39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log!D11 | Baseline 30 September 2026 | Editable cost input; GBP excluding VAT.</t>
      </text>
    </comment>
    <comment ref="E11" authorId="28" shapeId="0" xr:uid="{C3A1A60C-C92B-453B-8ABF-9EC03EF23CF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log!E11 | Baseline 30 September 2026 | Editable cost input; GBP excluding VAT.</t>
      </text>
    </comment>
    <comment ref="F11" authorId="29" shapeId="0" xr:uid="{218192D2-153E-4D29-93CD-EA36B402FB4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log!F11 | Baseline 30 September 2026 | Editable cost input; GBP excluding VAT.</t>
      </text>
    </comment>
    <comment ref="A12" authorId="30" shapeId="0" xr:uid="{8A10BCC8-2C31-43F3-A8D6-2386523BD1E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log!A12 | Baseline 30 September 2026 | Editable cost input; GBP excluding VAT.</t>
      </text>
    </comment>
    <comment ref="B12" authorId="31" shapeId="0" xr:uid="{95C5C339-158E-499B-BFDE-1428847C8F7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log!B12 | Baseline 30 September 2026 | Editable cost input; GBP excluding VAT.</t>
      </text>
    </comment>
    <comment ref="C12" authorId="32" shapeId="0" xr:uid="{8FEBC17C-13F4-4F70-A42E-111AD3D44E1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log!C12 | Baseline 30 September 2026 | Editable cost input; GBP excluding VAT.</t>
      </text>
    </comment>
    <comment ref="D12" authorId="33" shapeId="0" xr:uid="{C1104B9C-F41F-4FBD-9769-D9CADC356BB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log!D12 | Baseline 30 September 2026 | Editable cost input; GBP excluding VAT.</t>
      </text>
    </comment>
    <comment ref="E12" authorId="34" shapeId="0" xr:uid="{A0E191E8-AA90-40D7-A0FD-79A71C627DC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log!E12 | Baseline 30 September 2026 | Editable cost input; GBP excluding VAT.</t>
      </text>
    </comment>
    <comment ref="F12" authorId="35" shapeId="0" xr:uid="{C071C4CF-717A-429E-94A4-6A8D2FD3635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log!F12 | Baseline 30 September 2026 | Editable cost input; GBP excluding VAT.</t>
      </text>
    </comment>
    <comment ref="A13" authorId="36" shapeId="0" xr:uid="{115C6088-D4B0-4752-87A2-5582902548D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log!A13 | Baseline 30 September 2026 | Editable cost input; GBP excluding VAT.</t>
      </text>
    </comment>
    <comment ref="B13" authorId="37" shapeId="0" xr:uid="{A89A8883-A111-40EE-96B2-A1B36ADF1AE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log!B13 | Baseline 30 September 2026 | Editable cost input; GBP excluding VAT.</t>
      </text>
    </comment>
    <comment ref="C13" authorId="38" shapeId="0" xr:uid="{C7F6F485-E2AB-48D6-AAF9-0478705AFDF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log!C13 | Baseline 30 September 2026 | Editable cost input; GBP excluding VAT.</t>
      </text>
    </comment>
    <comment ref="D13" authorId="39" shapeId="0" xr:uid="{D757344A-E0A0-4F1E-9376-C0438B3E7B3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log!D13 | Baseline 30 September 2026 | Editable cost input; GBP excluding VAT.</t>
      </text>
    </comment>
    <comment ref="E13" authorId="40" shapeId="0" xr:uid="{DD3F596C-C93B-40A8-BB3E-6F07CAC0B29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log!E13 | Baseline 30 September 2026 | Editable cost input; GBP excluding VAT.</t>
      </text>
    </comment>
    <comment ref="F13" authorId="41" shapeId="0" xr:uid="{6FA93824-D399-421C-9FA8-05F7F8C92C8D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log!F13 | Baseline 30 September 2026 | Editable cost input; GBP excluding VAT.</t>
      </text>
    </comment>
    <comment ref="A14" authorId="42" shapeId="0" xr:uid="{718EF36B-3409-493E-8D69-BA53CFDBE7A1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log!A14 | Baseline 30 September 2026 | Editable cost input; GBP excluding VAT.</t>
      </text>
    </comment>
    <comment ref="B14" authorId="43" shapeId="0" xr:uid="{67988CEA-DFEE-48AB-A413-90F2C48FD4ED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log!B14 | Baseline 30 September 2026 | Editable cost input; GBP excluding VAT.</t>
      </text>
    </comment>
    <comment ref="C14" authorId="44" shapeId="0" xr:uid="{01004A3F-DB70-475B-BC97-90F7C59A6B2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log!C14 | Baseline 30 September 2026 | Editable cost input; GBP excluding VAT.</t>
      </text>
    </comment>
    <comment ref="D14" authorId="45" shapeId="0" xr:uid="{83CEB011-AAF2-463A-AE37-579DC23436C3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log!D14 | Baseline 30 September 2026 | Editable cost input; GBP excluding VAT.</t>
      </text>
    </comment>
    <comment ref="E14" authorId="46" shapeId="0" xr:uid="{7A4A7186-9E3A-4FBC-A339-80B7CB4C262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log!E14 | Baseline 30 September 2026 | Editable cost input; GBP excluding VAT.</t>
      </text>
    </comment>
    <comment ref="F14" authorId="47" shapeId="0" xr:uid="{ACC00AC7-3AED-444A-B231-6B4F1D763A8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log!F14 | Baseline 30 September 2026 | Editable cost input; GBP excluding VAT.</t>
      </text>
    </comment>
    <comment ref="A15" authorId="48" shapeId="0" xr:uid="{F9905FBE-1C15-402F-A00C-562F252F988F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log!A15 | Baseline 30 September 2026 | Editable cost input; GBP excluding VAT.</t>
      </text>
    </comment>
    <comment ref="B15" authorId="49" shapeId="0" xr:uid="{83CBBFAE-7FCA-4041-B856-DEE1C0391433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log!B15 | Baseline 30 September 2026 | Editable cost input; GBP excluding VAT.</t>
      </text>
    </comment>
    <comment ref="C15" authorId="50" shapeId="0" xr:uid="{AAF25346-E659-4B5C-8F17-36297DB9C65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log!C15 | Baseline 30 September 2026 | Editable cost input; GBP excluding VAT.</t>
      </text>
    </comment>
    <comment ref="D15" authorId="51" shapeId="0" xr:uid="{8F38F2AE-1360-447A-A29E-E00DE80C637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log!D15 | Baseline 30 September 2026 | Editable cost input; GBP excluding VAT.</t>
      </text>
    </comment>
    <comment ref="E15" authorId="52" shapeId="0" xr:uid="{33953C5F-40CA-469F-A051-20B9CFAF4414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log!E15 | Baseline 30 September 2026 | Editable cost input; GBP excluding VAT.</t>
      </text>
    </comment>
    <comment ref="F15" authorId="53" shapeId="0" xr:uid="{A049E0F2-8BA1-4339-AEFB-090CB8BB8A1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log!F15 | Baseline 30 September 2026 | Editable cost input; GBP excluding VAT.</t>
      </text>
    </comment>
    <comment ref="A16" authorId="54" shapeId="0" xr:uid="{6555935D-B593-4484-9CC4-08252561A46F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log!A16 | Baseline 30 September 2026 | Editable cost input; GBP excluding VAT.</t>
      </text>
    </comment>
    <comment ref="B16" authorId="55" shapeId="0" xr:uid="{9946DE7E-5319-4119-9347-ACD79CD0603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log!B16 | Baseline 30 September 2026 | Editable cost input; GBP excluding VAT.</t>
      </text>
    </comment>
    <comment ref="C16" authorId="56" shapeId="0" xr:uid="{BD28A8F1-B2A5-4D44-A0E1-23E80593C24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log!C16 | Baseline 30 September 2026 | Editable cost input; GBP excluding VAT.</t>
      </text>
    </comment>
    <comment ref="D16" authorId="57" shapeId="0" xr:uid="{C5E43AFC-FCD1-4117-B453-C100F9F9D38E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log!D16 | Baseline 30 September 2026 | Editable cost input; GBP excluding VAT.</t>
      </text>
    </comment>
    <comment ref="E16" authorId="58" shapeId="0" xr:uid="{AB171154-1D06-4AD8-8EB3-E0767272BDD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log!E16 | Baseline 30 September 2026 | Editable cost input; GBP excluding VAT.</t>
      </text>
    </comment>
    <comment ref="F16" authorId="59" shapeId="0" xr:uid="{63115271-3A4B-4AED-B06E-6436FB46A8F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log!F16 | Baseline 30 September 2026 | Editable cost input; GBP excluding VAT.</t>
      </text>
    </comment>
    <comment ref="A17" authorId="60" shapeId="0" xr:uid="{3FDC5729-8CA2-4149-B4AC-5F764C521E3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log!A17 | Baseline 30 September 2026 | Editable cost input; GBP excluding VAT.</t>
      </text>
    </comment>
    <comment ref="B17" authorId="61" shapeId="0" xr:uid="{B553C006-DBEC-473E-8ECC-D6DF8AEB84AE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log!B17 | Baseline 30 September 2026 | Editable cost input; GBP excluding VAT.</t>
      </text>
    </comment>
    <comment ref="C17" authorId="62" shapeId="0" xr:uid="{8CF64672-1A41-4556-AF44-5E61A45EEAEC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log!C17 | Baseline 30 September 2026 | Editable cost input; GBP excluding VAT.</t>
      </text>
    </comment>
    <comment ref="D17" authorId="63" shapeId="0" xr:uid="{D3CE5A06-6B2F-4F3F-AB35-469C0F331CC2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log!D17 | Baseline 30 September 2026 | Editable cost input; GBP excluding VAT.</t>
      </text>
    </comment>
    <comment ref="E17" authorId="64" shapeId="0" xr:uid="{B739FFA4-8AE2-46B8-85B7-91603DFF79A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log!E17 | Baseline 30 September 2026 | Editable cost input; GBP excluding VAT.</t>
      </text>
    </comment>
    <comment ref="F17" authorId="65" shapeId="0" xr:uid="{C6F8F39E-CE68-4707-8C48-B08A20D36BA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log!F17 | Baseline 30 September 2026 | Editable cost input; GBP excluding VAT.</t>
      </text>
    </comment>
    <comment ref="A18" authorId="66" shapeId="0" xr:uid="{1916E814-120A-4982-A561-4BA37CFBAACD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log!A18 | Baseline 30 September 2026 | Editable cost input; GBP excluding VAT.</t>
      </text>
    </comment>
    <comment ref="B18" authorId="67" shapeId="0" xr:uid="{73161B18-653D-4E84-B6F0-275F89F7FE0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log!B18 | Baseline 30 September 2026 | Editable cost input; GBP excluding VAT.</t>
      </text>
    </comment>
    <comment ref="C18" authorId="68" shapeId="0" xr:uid="{CE34FC5C-39BE-4BC6-B75F-D11B87D4DF2C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log!C18 | Baseline 30 September 2026 | Editable cost input; GBP excluding VAT.</t>
      </text>
    </comment>
    <comment ref="D18" authorId="69" shapeId="0" xr:uid="{EAEDD9AA-4F3F-4469-AD24-ED29EF5A5B2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log!D18 | Baseline 30 September 2026 | Editable cost input; GBP excluding VAT.</t>
      </text>
    </comment>
    <comment ref="E18" authorId="70" shapeId="0" xr:uid="{CCFA029E-39C0-4A6E-B9F2-9A801F23C1B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log!E18 | Baseline 30 September 2026 | Editable cost input; GBP excluding VAT.</t>
      </text>
    </comment>
    <comment ref="F18" authorId="71" shapeId="0" xr:uid="{B1F5770C-E6B4-41A9-B639-E976A2C0141D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log!F18 | Baseline 30 September 2026 | Editable cost input; GBP excluding VAT.</t>
      </text>
    </comment>
    <comment ref="A19" authorId="72" shapeId="0" xr:uid="{2A5F511C-C249-4CDC-B8E6-5672580F7E71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log!A19 | Baseline 30 September 2026 | Editable cost input; GBP excluding VAT.</t>
      </text>
    </comment>
    <comment ref="B19" authorId="73" shapeId="0" xr:uid="{CEB23875-4F7B-44D3-8EAA-EF0F2425AC0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log!B19 | Baseline 30 September 2026 | Editable cost input; GBP excluding VAT.</t>
      </text>
    </comment>
    <comment ref="C19" authorId="74" shapeId="0" xr:uid="{7C41A110-A91D-4EC7-912D-6AE5C907ECF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log!C19 | Baseline 30 September 2026 | Editable cost input; GBP excluding VAT.</t>
      </text>
    </comment>
    <comment ref="D19" authorId="75" shapeId="0" xr:uid="{77985BC6-024B-4E86-AC4F-0B8053D4DA4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log!D19 | Baseline 30 September 2026 | Editable cost input; GBP excluding VAT.</t>
      </text>
    </comment>
    <comment ref="E19" authorId="76" shapeId="0" xr:uid="{609A0AF9-0BE7-4F50-A8DD-5DBB0033A1BE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log!E19 | Baseline 30 September 2026 | Editable cost input; GBP excluding VAT.</t>
      </text>
    </comment>
    <comment ref="F19" authorId="77" shapeId="0" xr:uid="{A3CE710A-8E2A-4C76-BFD7-DAB02F5D830A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log!F19 | Baseline 30 September 2026 | Editable cost input; GBP excluding VAT.</t>
      </text>
    </comment>
    <comment ref="A20" authorId="78" shapeId="0" xr:uid="{A960B3AF-F900-46DC-BE88-6925F3CA223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log!A20 | Baseline 30 September 2026 | Editable cost input; GBP excluding VAT.</t>
      </text>
    </comment>
    <comment ref="B20" authorId="79" shapeId="0" xr:uid="{1B1173E8-96B6-4CF7-BCEF-1B04A02DA3D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log!B20 | Baseline 30 September 2026 | Editable cost input; GBP excluding VAT.</t>
      </text>
    </comment>
    <comment ref="C20" authorId="80" shapeId="0" xr:uid="{69677E50-6EE7-475A-AD7D-433DED3F6265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log!C20 | Baseline 30 September 2026 | Editable cost input; GBP excluding VAT.</t>
      </text>
    </comment>
    <comment ref="D20" authorId="81" shapeId="0" xr:uid="{A7F7D941-C82B-4B86-A96F-F731C315B7EF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log!D20 | Baseline 30 September 2026 | Editable cost input; GBP excluding VAT.</t>
      </text>
    </comment>
    <comment ref="E20" authorId="82" shapeId="0" xr:uid="{3D8A7FB6-EC1D-4B95-9890-52DF831F866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log!E20 | Baseline 30 September 2026 | Editable cost input; GBP excluding VAT.</t>
      </text>
    </comment>
    <comment ref="F20" authorId="83" shapeId="0" xr:uid="{5D810D55-2699-4ECF-B3B7-A21A8E840FE9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log!F20 | Baseline 30 September 2026 | Editable cost input; GBP excluding VAT.</t>
      </text>
    </comment>
    <comment ref="A21" authorId="84" shapeId="0" xr:uid="{696766BB-539F-41FA-B46B-2E5FD52F6883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log!A21 | Baseline 30 September 2026 | Editable cost input; GBP excluding VAT.</t>
      </text>
    </comment>
    <comment ref="B21" authorId="85" shapeId="0" xr:uid="{084AD31E-94C3-43A2-A1EB-59D8EA3B2CF0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log!B21 | Baseline 30 September 2026 | Editable cost input; GBP excluding VAT.</t>
      </text>
    </comment>
    <comment ref="C21" authorId="86" shapeId="0" xr:uid="{4FCAD334-E386-4EFF-953C-EDD96DDEBFA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log!C21 | Baseline 30 September 2026 | Editable cost input; GBP excluding VAT.</t>
      </text>
    </comment>
    <comment ref="D21" authorId="87" shapeId="0" xr:uid="{F2E2E980-2628-4D13-B2EA-E9860338A2DF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log!D21 | Baseline 30 September 2026 | Editable cost input; GBP excluding VAT.</t>
      </text>
    </comment>
    <comment ref="E21" authorId="88" shapeId="0" xr:uid="{8D3FD132-1978-487D-B6A5-663402A6E5C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log!E21 | Baseline 30 September 2026 | Editable cost input; GBP excluding VAT.</t>
      </text>
    </comment>
    <comment ref="F21" authorId="89" shapeId="0" xr:uid="{DE372CE4-6101-4141-B12D-72C637B199E8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supplied fictional HODASSA demo | Original Cost log!F21 | Baseline 30 September 2026 | Editable cost input; GBP excluding VAT.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<sst xmlns="http://schemas.openxmlformats.org/spreadsheetml/2006/main" count="507" uniqueCount="290">
  <si>
    <t>Contract value</t>
  </si>
  <si>
    <t>Forecast margin</t>
  </si>
  <si>
    <t>Project</t>
  </si>
  <si>
    <t>Job ID</t>
  </si>
  <si>
    <t>Owner</t>
  </si>
  <si>
    <t>Contract GBP</t>
  </si>
  <si>
    <t>Budget GBP</t>
  </si>
  <si>
    <t>Progress</t>
  </si>
  <si>
    <t>Open POs GBP</t>
  </si>
  <si>
    <t>Unplaced ETC</t>
  </si>
  <si>
    <t>Actual GBP</t>
  </si>
  <si>
    <t>Forecast GBP</t>
  </si>
  <si>
    <t>Margin</t>
  </si>
  <si>
    <t>Budget review</t>
  </si>
  <si>
    <t>2601</t>
  </si>
  <si>
    <t>Heathrow AHU Upgrade</t>
  </si>
  <si>
    <t>Demo manager A</t>
  </si>
  <si>
    <t>2602</t>
  </si>
  <si>
    <t>Bristol HVAC Retrofit</t>
  </si>
  <si>
    <t>Demo manager B</t>
  </si>
  <si>
    <t>2603</t>
  </si>
  <si>
    <t>Surrey Process Cooling</t>
  </si>
  <si>
    <t>2604</t>
  </si>
  <si>
    <t>Reading Boiler Replacement</t>
  </si>
  <si>
    <t>Demo manager C</t>
  </si>
  <si>
    <t>2605</t>
  </si>
  <si>
    <t>Oxford Cleanroom Ventilation</t>
  </si>
  <si>
    <t>Cost ID</t>
  </si>
  <si>
    <t>Date</t>
  </si>
  <si>
    <t>Description</t>
  </si>
  <si>
    <t>Quantity</t>
  </si>
  <si>
    <t>Rate GBP</t>
  </si>
  <si>
    <t>Cost GBP</t>
  </si>
  <si>
    <t>C-01</t>
  </si>
  <si>
    <t>Equipment package</t>
  </si>
  <si>
    <t>C-02</t>
  </si>
  <si>
    <t>Labour hours</t>
  </si>
  <si>
    <t>C-03</t>
  </si>
  <si>
    <t>Installation subcontract</t>
  </si>
  <si>
    <t>C-11</t>
  </si>
  <si>
    <t>C-12</t>
  </si>
  <si>
    <t>C-13</t>
  </si>
  <si>
    <t>C-21</t>
  </si>
  <si>
    <t>C-22</t>
  </si>
  <si>
    <t>C-23</t>
  </si>
  <si>
    <t>C-31</t>
  </si>
  <si>
    <t>C-32</t>
  </si>
  <si>
    <t>C-33</t>
  </si>
  <si>
    <t>C-41</t>
  </si>
  <si>
    <t>C-42</t>
  </si>
  <si>
    <t>C-43</t>
  </si>
  <si>
    <t>HODASSA | Project Cost Review</t>
  </si>
  <si>
    <t>Reporting date (edit)</t>
  </si>
  <si>
    <t>Control</t>
  </si>
  <si>
    <t>Count / status</t>
  </si>
  <si>
    <t>Invalid cost records</t>
  </si>
  <si>
    <t>Unmapped / ambiguous project records</t>
  </si>
  <si>
    <t>Valid costs after reporting date</t>
  </si>
  <si>
    <t>Projects with input problems</t>
  </si>
  <si>
    <t>Reporting date valid</t>
  </si>
  <si>
    <t>Accepted actual subtotal (not a complete forecast)</t>
  </si>
  <si>
    <t>Overall data status</t>
  </si>
  <si>
    <t>Specific problem(s)</t>
  </si>
  <si>
    <t>Record status</t>
  </si>
  <si>
    <t>Project mapping</t>
  </si>
  <si>
    <t>Accepted GBP</t>
  </si>
  <si>
    <t>Project input problem(s)</t>
  </si>
  <si>
    <t>Invalid cost rows</t>
  </si>
  <si>
    <t>Accepted actual subtotal</t>
  </si>
  <si>
    <t>Profit GBP</t>
  </si>
  <si>
    <t>Profit review</t>
  </si>
  <si>
    <t>Data review</t>
  </si>
  <si>
    <t>Cost budget</t>
  </si>
  <si>
    <t>Actual costs</t>
  </si>
  <si>
    <t>Forecast costs</t>
  </si>
  <si>
    <t>Forecast profit</t>
  </si>
  <si>
    <t>Invalid costs</t>
  </si>
  <si>
    <t>Unmapped costs</t>
  </si>
  <si>
    <t>After date (valid)</t>
  </si>
  <si>
    <t>Project input issues</t>
  </si>
  <si>
    <t>Loss-making jobs</t>
  </si>
  <si>
    <t>Over-budget jobs</t>
  </si>
  <si>
    <t>HODASSA | Edit projects</t>
  </si>
  <si>
    <t>Fictional data • Blue cells are inputs • GBP excluding VAT • Add rows inside the table</t>
  </si>
  <si>
    <t>Remaining POs only. Unplaced ETC excludes actuals and POs. Blank ≠ zero.</t>
  </si>
  <si>
    <t>HODASSA | Enter costs</t>
  </si>
  <si>
    <t>Use a unique cost ID and listed job ID. Valid later dates are excluded, not invalid.</t>
  </si>
  <si>
    <t>Edit projects</t>
  </si>
  <si>
    <t>Back to dashboard</t>
  </si>
  <si>
    <t>HOW TO UPDATE</t>
  </si>
  <si>
    <t>1. Enter one unique job ID per project.</t>
  </si>
  <si>
    <t>2. POs = still-unspent purchase orders only.</t>
  </si>
  <si>
    <t>3. ETC = work not actual and not ordered.</t>
  </si>
  <si>
    <t>4. Blank ETC blocks forecasts; 0 is explicit.</t>
  </si>
  <si>
    <t>5. Progress is manual; it does not drive costs.</t>
  </si>
  <si>
    <t>Add a table row with Tab from its last cell.</t>
  </si>
  <si>
    <t>Do not paste records outside the table.</t>
  </si>
  <si>
    <t>Inputs-only table: no formulas to overwrite.</t>
  </si>
  <si>
    <t>HOW TO ENTER COSTS</t>
  </si>
  <si>
    <t>1. Use a unique cost ID, not an invoice total twice.</t>
  </si>
  <si>
    <t>2. Select Job ID from the dropdown.</t>
  </si>
  <si>
    <t>3. Quantity &gt; 0; rate ≥ 0; describe the cost.</t>
  </si>
  <si>
    <t>4. Valid dates after the cutoff are AFTER DATE.</t>
  </si>
  <si>
    <t>Pasting may bypass validation; audit still checks.</t>
  </si>
  <si>
    <t>Reduce remaining POs after posting their costs.</t>
  </si>
  <si>
    <t>Edit costs</t>
  </si>
  <si>
    <t>Project audit →</t>
  </si>
  <si>
    <t>Cost input row</t>
  </si>
  <si>
    <t>Verification scenario</t>
  </si>
  <si>
    <t>Result</t>
  </si>
  <si>
    <t>Expected behaviour</t>
  </si>
  <si>
    <t>Observed</t>
  </si>
  <si>
    <t>Restored</t>
  </si>
  <si>
    <t>Run date</t>
  </si>
  <si>
    <t>Notes</t>
  </si>
  <si>
    <t>Core version notes and proposed enhanced version</t>
  </si>
  <si>
    <t>Original Portfolio, Projects and Cost log tabs are preserved. Revised tabs use only hdProjects, hdCosts and hdReportDate.</t>
  </si>
  <si>
    <t>Source: all 5 projects and 15 costs copied unchanged from the supplied fictional demonstration; no external financial data added.</t>
  </si>
  <si>
    <t>Separate file limitation: this session can edit the open workbook, not Save As or deliver a second file. Save a separate .xlsx copy before distribution.</t>
  </si>
  <si>
    <t>Protection: inputs-only tables remain unprotected for normal typing and expansion. All calculation outputs are on protected sheets; no password is set.</t>
  </si>
  <si>
    <t>Enhanced option A: a separately approved .xlsm version with a VBA UserForm: enter details → validate → append → confirm; PDF export button.</t>
  </si>
  <si>
    <t>Enhanced option B: keep .xlsx and deploy an Office add-in task pane for a genuine form. A workbook alone cannot contain that deployed add-in.</t>
  </si>
  <si>
    <t>I can provide the VBA or Office.js implementation and edit the workbook here. I cannot install/run VBA, deploy an add-in, or create a PDF file through these tools.</t>
  </si>
  <si>
    <t>No macros, persistent scripts, form buttons or export button were installed. Hosting, trust, Excel-platform compatibility and end-to-end export require separate setup/testing.</t>
  </si>
  <si>
    <t>An invalid record blocks its associated project. Missing/unknown/ambiguous project IDs block every forecast because their allocation is unresolved.</t>
  </si>
  <si>
    <t>Invalid later-dated records still require review. Valid later-dated records are AFTER DATE, excluded from actuals, and not validation errors.</t>
  </si>
  <si>
    <t>Changing the date does not recreate historical POs or ETC. Refresh the remaining-cost inputs to that same reporting date.</t>
  </si>
  <si>
    <t>Version notes →</t>
  </si>
  <si>
    <t>Baseline reconciliation</t>
  </si>
  <si>
    <t>PASS</t>
  </si>
  <si>
    <t>£903k / £721,460 / £392,500 / £777,600 / £125,400 / 13.9%</t>
  </si>
  <si>
    <t>Yes</t>
  </si>
  <si>
    <t>Add project + chart coverage</t>
  </si>
  <si>
    <t>Six projects in totals, detail and BOTH charts</t>
  </si>
  <si>
    <t>Contract £913000; forecast £780600; chart categories 6/6</t>
  </si>
  <si>
    <t>Add cost to new project</t>
  </si>
  <si>
    <t>Actual +£500; new project forecast £3,500</t>
  </si>
  <si>
    <t>Actual £393000; forecast £781100; new project £3500</t>
  </si>
  <si>
    <t>Duplicate cost ID</t>
  </si>
  <si>
    <t>Both duplicate rows and affected projects blocked</t>
  </si>
  <si>
    <t>Invalid 2; actual/forecast BLOCKED/BLOCKED; Duplicate cost ID</t>
  </si>
  <si>
    <t>Unknown project ID</t>
  </si>
  <si>
    <t>Unmapped warning and every forecast blocked</t>
  </si>
  <si>
    <t>Unmapped 1; Unknown project ID; portfolio BLOCKED</t>
  </si>
  <si>
    <t>Blank required estimate</t>
  </si>
  <si>
    <t>Forecast withheld; actuals remain valid</t>
  </si>
  <si>
    <t>Unplaced ETC required: enter 0 only if none remains</t>
  </si>
  <si>
    <t>Explicit zero estimate</t>
  </si>
  <si>
    <t>Zero accepted; forecast £737,600</t>
  </si>
  <si>
    <t>Forecast £737600; profit £165400</t>
  </si>
  <si>
    <t>Reporting date + future costs</t>
  </si>
  <si>
    <t>Future ≠ invalid; cutoffs recalculate actuals</t>
  </si>
  <si>
    <t>31 Aug: £172000 / 10 later; 15 Oct includes £500</t>
  </si>
  <si>
    <t>Remaining POs/ETC stay manual; no historical snapshot</t>
  </si>
  <si>
    <t>Incomplete / invalid cost</t>
  </si>
  <si>
    <t>Specific reasons; associated forecast blocked</t>
  </si>
  <si>
    <t>Missing description; Missing or non-numeric rate</t>
  </si>
  <si>
    <t>Restoration + protection</t>
  </si>
  <si>
    <t>5/15 original records; protected formulas; editable tables</t>
  </si>
  <si>
    <t>All cost records ↓</t>
  </si>
  <si>
    <t>Red = invalid; amber = valid after date</t>
  </si>
  <si>
    <t>Exact original values and types restored; IDs retained as text.</t>
  </si>
  <si>
    <t>Output protection verified. Interactive clicks/Save As not automated.</t>
  </si>
  <si>
    <t>Keep table headers unchanged; do not delete columns.</t>
  </si>
  <si>
    <t>All six target totals reconcile; margin 13.9%.</t>
  </si>
  <si>
    <t>Additional wildcard ID test: PASS; forecast withheld.</t>
  </si>
  <si>
    <t>HODASSA | Internal release notes and historical tests</t>
  </si>
  <si>
    <t>Internal reference only. Historical results below are not the current release verification.</t>
  </si>
  <si>
    <t>HODASSA | Cost and project calculations</t>
  </si>
  <si>
    <t>Protected business logic and validation: cost records at A18; project forecasts at M18.</t>
  </si>
  <si>
    <t>HODASSA | Independent model checks</t>
  </si>
  <si>
    <t>Independent reconciliations only. Business calculations are on HODASSA Calculations.</t>
  </si>
  <si>
    <t>Baseline project inputs — internal restoration snapshot</t>
  </si>
  <si>
    <t>Baseline cost inputs — internal restoration snapshot</t>
  </si>
  <si>
    <t>Baseline reporting date</t>
  </si>
  <si>
    <t>Release 2026-10-10 | Separate-file backup requires user Save As; no backup file created by this session.</t>
  </si>
  <si>
    <t>No macros or persistent scripts added; retain .xlsx. Website hosting and reopen behaviour require separate verification.</t>
  </si>
  <si>
    <t>Fictional contractor demonstration | GBP excluding VAT | Customer edition • 10 October 2026</t>
  </si>
  <si>
    <t>Issues / action required</t>
  </si>
  <si>
    <t>Update project and cost tables; enter 0 only when no remaining cost exists. Keep POs and ETC current at the reporting date.</t>
  </si>
  <si>
    <t>Calculations and dashboard outputs are protected.</t>
  </si>
  <si>
    <t>5. See Calculations for cost amounts and issues.</t>
  </si>
  <si>
    <t>Chart sources — validated projects only; unavailable forecasts are excluded</t>
  </si>
  <si>
    <t>MODEL STATUS</t>
  </si>
  <si>
    <t>Failed checks / input review</t>
  </si>
  <si>
    <t>Independent check</t>
  </si>
  <si>
    <t>Expected / source</t>
  </si>
  <si>
    <t>Model / output</t>
  </si>
  <si>
    <t>Difference</t>
  </si>
  <si>
    <t>Where to fix</t>
  </si>
  <si>
    <t>Project coverage</t>
  </si>
  <si>
    <t>Project inputs and spill formulas</t>
  </si>
  <si>
    <t>Cost record coverage</t>
  </si>
  <si>
    <t>Cost inputs and spill formulas</t>
  </si>
  <si>
    <t>Reporting-date validity</t>
  </si>
  <si>
    <t>Reporting date on dashboard</t>
  </si>
  <si>
    <t>Accepted costs re-performed</t>
  </si>
  <si>
    <t>Cost validation and accepted amounts</t>
  </si>
  <si>
    <t>Project allocation reconciles</t>
  </si>
  <si>
    <t>Project mapping and accepted cost allocation</t>
  </si>
  <si>
    <t>Forecast composition</t>
  </si>
  <si>
    <t>Actual costs + open POs + unplaced ETC</t>
  </si>
  <si>
    <t>Contract less forecast cost</t>
  </si>
  <si>
    <t>Weighted portfolio margin</t>
  </si>
  <si>
    <t>Portfolio profit divided by contract</t>
  </si>
  <si>
    <t>Dashboard totals match calculations</t>
  </si>
  <si>
    <t>Dashboard headline links</t>
  </si>
  <si>
    <t>Validated chart source spills</t>
  </si>
  <si>
    <t>Forecast chart total</t>
  </si>
  <si>
    <t>Forecast chart source</t>
  </si>
  <si>
    <t>Profit chart total</t>
  </si>
  <si>
    <t>Profit chart source</t>
  </si>
  <si>
    <t>Current release tests — 10 October 2026</t>
  </si>
  <si>
    <t>Expected</t>
  </si>
  <si>
    <t>Chart source coverage mismatches</t>
  </si>
  <si>
    <t>Charts include available forecasts only. BLOCKED means unavailable, not £0.</t>
  </si>
  <si>
    <t>Dependency audit: no retained worksheet formula, workbook/sheet named range or input-validation rule refers to Portfolio, Projects or Cost log. Their charts were confined to obsolete/replaced sheets.</t>
  </si>
  <si>
    <t>Chart source ranges auto-expand from complete dynamic-array spills (verified with sixth project). Static chart placement may need moving down for portfolios exceeding 17 projects.</t>
  </si>
  <si>
    <t>Baseline totals</t>
  </si>
  <si>
    <t>£903000 / £721460 / £392500 / £777600 / £125400 / 13.887043%</t>
  </si>
  <si>
    <t>Actual 392500; forecast 777600; profit 125400; invalid 0; unmapped 0; later 0; chart projects 5/5/5; errors 0</t>
  </si>
  <si>
    <t>Blank required ETC</t>
  </si>
  <si>
    <t>Project and portfolio forecast BLOCKED; actuals retained; 4 chart projects</t>
  </si>
  <si>
    <t>Actual 392500; forecast BLOCKED; profit BLOCKED; invalid 0; unmapped 0; later 0; chart projects 4/4/4; errors 0</t>
  </si>
  <si>
    <t>Explicit zero ETC</t>
  </si>
  <si>
    <t>Forecast £737600; profit £165400; first project £91000</t>
  </si>
  <si>
    <t>Actual 392500; forecast 737600; profit 165400; invalid 0; unmapped 0; later 0; chart projects 5/5/5; errors 0</t>
  </si>
  <si>
    <t>2 invalid costs; affected project blocked; 4 chart projects</t>
  </si>
  <si>
    <t>Actual BLOCKED; forecast BLOCKED; profit BLOCKED; invalid 2; unmapped 0; later 0; chart projects 4/4/4; errors 0</t>
  </si>
  <si>
    <t>Unknown cost project</t>
  </si>
  <si>
    <t>Unmapped cost; all forecasts withheld; no real chart projects</t>
  </si>
  <si>
    <t>Actual BLOCKED; forecast BLOCKED; profit BLOCKED; invalid 1; unmapped 1; later 0; chart projects 0/0/0; errors 0</t>
  </si>
  <si>
    <t>Wildcard cost project</t>
  </si>
  <si>
    <t>Unsafe ID rejected; all forecasts withheld</t>
  </si>
  <si>
    <t>Duplicate project ID</t>
  </si>
  <si>
    <t>Ambiguous mapping; all forecasts withheld</t>
  </si>
  <si>
    <t>Actual BLOCKED; forecast BLOCKED; profit BLOCKED; invalid 6; unmapped 6; later 0; chart projects 0/0/0; errors 0</t>
  </si>
  <si>
    <t>Non-numeric rate</t>
  </si>
  <si>
    <t>Invalid cost; affected project blocked; 4 chart projects</t>
  </si>
  <si>
    <t>Actual BLOCKED; forecast BLOCKED; profit BLOCKED; invalid 1; unmapped 0; later 0; chart projects 4/4/4; errors 0</t>
  </si>
  <si>
    <t>Zero quantity</t>
  </si>
  <si>
    <t>Invalid cost; affected project blocked</t>
  </si>
  <si>
    <t>Missing cost description</t>
  </si>
  <si>
    <t>Invalid reporting date</t>
  </si>
  <si>
    <t>All actuals and forecasts withheld; no real chart projects</t>
  </si>
  <si>
    <t>Actual BLOCKED; forecast BLOCKED; profit BLOCKED; invalid 0; unmapped 0; later 0; chart projects 0/0/0; errors 0</t>
  </si>
  <si>
    <t>Valid later-dated cost</t>
  </si>
  <si>
    <t>1 AFTER DATE; actual £352500; forecast £737600; no invalid costs</t>
  </si>
  <si>
    <t>Actual 352500; forecast 737600; profit 165400; invalid 0; unmapped 0; later 1; chart projects 5/5/5; errors 0</t>
  </si>
  <si>
    <t>Invalid later-dated cost</t>
  </si>
  <si>
    <t>Negative rate still invalid; affected forecast withheld</t>
  </si>
  <si>
    <t>Negative remaining PO</t>
  </si>
  <si>
    <t>Project input invalid; forecast withheld</t>
  </si>
  <si>
    <t>Progress above 100%</t>
  </si>
  <si>
    <t>Blank contract</t>
  </si>
  <si>
    <t>Contract total and affected forecast withheld</t>
  </si>
  <si>
    <t>Zero contract</t>
  </si>
  <si>
    <t>Affected forecast and margin withheld; no division error</t>
  </si>
  <si>
    <t>Non-date cost entry</t>
  </si>
  <si>
    <t>Invalid cost date; affected forecast withheld</t>
  </si>
  <si>
    <t>Projects  ›</t>
  </si>
  <si>
    <t>Costs  ›</t>
  </si>
  <si>
    <t>Issues  ›</t>
  </si>
  <si>
    <t>Checks  ›</t>
  </si>
  <si>
    <t>Unavailable charts: invalid projects are filtered out. When all forecasts are blocked, hidden chart-only sources use deliberate #N/A gaps, never £0. Dashboard displays BLOCKED; baseline is error-free.</t>
  </si>
  <si>
    <t>New-row validation inheritance</t>
  </si>
  <si>
    <t>ETC non-negative; cost project dropdown; Stop alerts retained</t>
  </si>
  <si>
    <t>Both new table rows inherit validation and Stop alerts; interactive invalid typing not simulated</t>
  </si>
  <si>
    <t>Add project and linked £500 cost</t>
  </si>
  <si>
    <t>Both charts: new budget £8,000 / forecast £3,500 / profit £6,500</t>
  </si>
  <si>
    <t>Native chart series 6/6/6 projects</t>
  </si>
  <si>
    <t>Final chart state regression</t>
  </si>
  <si>
    <t>No zero forecasts; fixed series orientation; expansion and recovery</t>
  </si>
  <si>
    <t>baseline: PASS; blocked: PASS; recovered: PASS; partial: PASS; newproject: PASS; final: PASS</t>
  </si>
  <si>
    <t>Independent check effectiveness</t>
  </si>
  <si>
    <t>£1 deliberate forecast mismatch must trigger independent check and dashboard warning</t>
  </si>
  <si>
    <t>Forecast/profit/margin checks fail; dashboard STOP warning appears; original formula restored</t>
  </si>
  <si>
    <t>Release limitations: backup Save As and saving/reopening the .xlsx are user actions. Website embedding/download flow, older Excel versions and interactive validation alerts were not tested.</t>
  </si>
  <si>
    <t>No macros, installer, custom forms or exports were added. Forecasts use actuals plus manual remaining POs and ETC; no invoice-to-PO matching or historical estimate snapshots.</t>
  </si>
  <si>
    <t>Layout: chart sources and detail spill expand automatically. Chart objects have fixed positions; move charts down if the dashboard exceeds 17 projects.</t>
  </si>
  <si>
    <t>Review project issues</t>
  </si>
  <si>
    <t>Review cost issues</t>
  </si>
  <si>
    <t>Exact restoration and final workbook audit</t>
  </si>
  <si>
    <t>Original 5 projects, 15 costs, text IDs and 30 Sep 2026 date; outputs protected</t>
  </si>
  <si>
    <t>Exact values/types restored; 12 independent checks PASS; no baseline errors, required blanks or legacy dependencies</t>
  </si>
  <si>
    <t>Website release verification</t>
  </si>
  <si>
    <t>NOT TESTED</t>
  </si>
  <si>
    <t>Save/reopen .xlsx; deployment; intended Excel versions</t>
  </si>
  <si>
    <t>Dashboard is first and active. Separate file backup, Save As, website flow and reopen verification remain manual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</si>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</sst>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0.0%"/>
    <numFmt numFmtId="166" formatCode="dd\ mmm\ yyyy"/>
    <numFmt numFmtId="167" formatCode="&quot;£&quot;#,##0;[Red]\(&quot;£&quot;#,##0\);&quot;£0&quot;"/>
    <numFmt numFmtId="168" formatCode="0.0%;[Red]\(0.0%\);0.0%"/>
    <numFmt numFmtId="169" formatCode="&quot;£&quot;#,##0.00;[Red]\(&quot;£&quot;#,##0.00\);&quot;£0.00&quot;"/>
    <numFmt numFmtId="170" formatCode="0.000%"/>
  </numFmts>
  <fonts count="28">
    <font>
      <sz val="11"/>
      <name val="Carlito"/>
    </font>
    <font>
      <sz val="11"/>
      <color rgb="FF101724"/>
      <name val="Arial"/>
    </font>
    <font>
      <sz val="10"/>
      <color rgb="FF657080"/>
      <name val="Arial"/>
    </font>
    <font>
      <b/>
      <sz val="11"/>
      <color rgb="FFFFFFFF"/>
      <name val="Arial"/>
    </font>
    <font>
      <u/>
      <sz val="11"/>
      <color theme="10"/>
      <name val="Carlito"/>
    </font>
    <font>
      <sz val="11"/>
      <color rgb="FFFFFFFF"/>
      <name val="Carlito"/>
    </font>
    <font>
      <b/>
      <sz val="11"/>
      <color rgb="FFFFFFFF"/>
      <name val="Carlito"/>
    </font>
    <font>
      <b/>
      <sz val="18"/>
      <color rgb="FFFFFFFF"/>
      <name val="Arial"/>
    </font>
    <font>
      <sz val="10"/>
      <name val="Carlito"/>
    </font>
    <font>
      <sz val="10"/>
      <color rgb="FF536575"/>
      <name val="Carlito"/>
    </font>
    <font>
      <b/>
      <sz val="11"/>
      <name val="Carlito"/>
    </font>
    <font>
      <b/>
      <sz val="17"/>
      <name val="Carlito"/>
    </font>
    <font>
      <b/>
      <sz val="10"/>
      <color rgb="FF0070C0"/>
      <name val="Carlito"/>
    </font>
    <font>
      <u/>
      <sz val="11"/>
      <color rgb="FF007F82"/>
      <name val="Carlito"/>
    </font>
    <font>
      <b/>
      <sz val="11"/>
      <color rgb="FF142B3C"/>
      <name val="Carlito"/>
    </font>
    <font>
      <sz val="11"/>
      <name val="Arial"/>
    </font>
    <font>
      <sz val="11"/>
      <color rgb="FF0070C0"/>
      <name val="Arial"/>
    </font>
    <font>
      <sz val="10"/>
      <color rgb="FF101724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007F82"/>
      <name val="Carlito"/>
    </font>
    <font>
      <sz val="10"/>
      <color rgb="FF596875"/>
      <name val="Carlito"/>
    </font>
    <font>
      <sz val="10"/>
      <name val="Arial"/>
    </font>
    <font>
      <b/>
      <sz val="10"/>
      <color rgb="FFFFFFFF"/>
      <name val="Arial"/>
    </font>
    <font>
      <sz val="10"/>
      <color rgb="FF222222"/>
      <name val="Arial"/>
    </font>
    <font>
      <sz val="11"/>
      <color rgb="FF222222"/>
      <name val="Carlito"/>
    </font>
    <font>
      <sz val="11"/>
      <color rgb="FF222222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42B3C"/>
        <bgColor indexed="64"/>
      </patternFill>
    </fill>
    <fill>
      <patternFill patternType="solid">
        <fgColor rgb="FFEAF6F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EE3EB"/>
      </bottom>
      <diagonal/>
    </border>
    <border>
      <left/>
      <right/>
      <top style="thin">
        <color rgb="FFE3E9ED"/>
      </top>
      <bottom style="thin">
        <color rgb="FFE3E9ED"/>
      </bottom>
      <diagonal/>
    </border>
    <border>
      <left/>
      <right/>
      <top/>
      <bottom style="hair">
        <color rgb="FFDEE6EB"/>
      </bottom>
      <diagonal/>
    </border>
    <border>
      <left/>
      <right/>
      <top style="hair">
        <color rgb="FFDEE6EB"/>
      </top>
      <bottom style="hair">
        <color rgb="FFDEE6EB"/>
      </bottom>
      <diagonal/>
    </border>
    <border>
      <left/>
      <right/>
      <top style="hair">
        <color rgb="FFDEE6EB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6" fontId="0" fillId="0" borderId="0" xfId="0" applyNumberFormat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0" borderId="0" xfId="0" applyFont="1"/>
    <xf numFmtId="0" fontId="6" fillId="2" borderId="0" xfId="0" applyFont="1" applyFill="1" applyAlignment="1">
      <alignment wrapText="1"/>
    </xf>
    <xf numFmtId="166" fontId="12" fillId="3" borderId="0" xfId="0" applyNumberFormat="1" applyFont="1" applyFill="1" applyProtection="1">
      <protection locked="0"/>
    </xf>
    <xf numFmtId="0" fontId="4" fillId="0" borderId="0" xfId="1"/>
    <xf numFmtId="0" fontId="13" fillId="0" borderId="0" xfId="1" applyFont="1"/>
    <xf numFmtId="0" fontId="8" fillId="0" borderId="0" xfId="0" applyFont="1" applyAlignment="1">
      <alignment wrapText="1"/>
    </xf>
    <xf numFmtId="167" fontId="1" fillId="0" borderId="0" xfId="0" applyNumberFormat="1" applyFont="1" applyAlignment="1">
      <alignment vertical="center"/>
    </xf>
    <xf numFmtId="168" fontId="1" fillId="0" borderId="0" xfId="0" applyNumberFormat="1" applyFont="1" applyAlignment="1">
      <alignment vertical="center"/>
    </xf>
    <xf numFmtId="0" fontId="15" fillId="0" borderId="2" xfId="0" applyFont="1" applyBorder="1"/>
    <xf numFmtId="167" fontId="15" fillId="0" borderId="2" xfId="0" applyNumberFormat="1" applyFont="1" applyBorder="1"/>
    <xf numFmtId="168" fontId="15" fillId="0" borderId="2" xfId="0" applyNumberFormat="1" applyFont="1" applyBorder="1"/>
    <xf numFmtId="0" fontId="15" fillId="0" borderId="2" xfId="0" applyFont="1" applyBorder="1" applyAlignment="1">
      <alignment wrapText="1"/>
    </xf>
    <xf numFmtId="0" fontId="7" fillId="2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6" fillId="3" borderId="0" xfId="0" applyFont="1" applyFill="1" applyAlignment="1">
      <alignment vertical="center" wrapText="1"/>
    </xf>
    <xf numFmtId="0" fontId="4" fillId="0" borderId="0" xfId="1" applyAlignment="1">
      <alignment vertical="center"/>
    </xf>
    <xf numFmtId="0" fontId="17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167" fontId="16" fillId="3" borderId="0" xfId="0" applyNumberFormat="1" applyFont="1" applyFill="1" applyAlignment="1">
      <alignment vertical="center"/>
    </xf>
    <xf numFmtId="167" fontId="0" fillId="0" borderId="0" xfId="0" applyNumberFormat="1"/>
    <xf numFmtId="168" fontId="16" fillId="3" borderId="0" xfId="0" applyNumberFormat="1" applyFont="1" applyFill="1" applyAlignment="1">
      <alignment vertical="center"/>
    </xf>
    <xf numFmtId="168" fontId="0" fillId="0" borderId="0" xfId="0" applyNumberFormat="1"/>
    <xf numFmtId="166" fontId="16" fillId="3" borderId="0" xfId="0" applyNumberFormat="1" applyFont="1" applyFill="1" applyAlignment="1">
      <alignment horizontal="center" vertical="center"/>
    </xf>
    <xf numFmtId="166" fontId="1" fillId="0" borderId="0" xfId="0" applyNumberFormat="1" applyFont="1" applyAlignment="1">
      <alignment vertical="center"/>
    </xf>
    <xf numFmtId="169" fontId="16" fillId="3" borderId="0" xfId="0" applyNumberFormat="1" applyFont="1" applyFill="1" applyAlignment="1">
      <alignment vertical="center"/>
    </xf>
    <xf numFmtId="169" fontId="0" fillId="0" borderId="0" xfId="0" applyNumberFormat="1"/>
    <xf numFmtId="169" fontId="1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6" fillId="2" borderId="0" xfId="0" applyFont="1" applyFill="1"/>
    <xf numFmtId="0" fontId="8" fillId="0" borderId="0" xfId="0" applyFont="1" applyFill="1" applyBorder="1" applyAlignment="1">
      <alignment wrapText="1"/>
    </xf>
    <xf numFmtId="49" fontId="16" fillId="3" borderId="0" xfId="0" applyNumberFormat="1" applyFont="1" applyFill="1" applyAlignment="1">
      <alignment vertical="center"/>
    </xf>
    <xf numFmtId="49" fontId="0" fillId="0" borderId="0" xfId="0" applyNumberFormat="1"/>
    <xf numFmtId="49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166" fontId="8" fillId="0" borderId="0" xfId="0" applyNumberFormat="1" applyFont="1" applyAlignment="1">
      <alignment vertical="center" wrapText="1"/>
    </xf>
    <xf numFmtId="0" fontId="20" fillId="3" borderId="0" xfId="0" applyFont="1" applyFill="1"/>
    <xf numFmtId="165" fontId="0" fillId="0" borderId="0" xfId="0" applyNumberFormat="1"/>
    <xf numFmtId="0" fontId="22" fillId="0" borderId="0" xfId="0" applyFont="1"/>
    <xf numFmtId="0" fontId="22" fillId="0" borderId="0" xfId="0" applyFont="1"/>
    <xf numFmtId="0" fontId="7" fillId="2" borderId="0" xfId="0" applyFont="1" applyFill="1"/>
    <xf numFmtId="0" fontId="23" fillId="2" borderId="0" xfId="0" applyFont="1" applyFill="1"/>
    <xf numFmtId="167" fontId="22" fillId="0" borderId="0" xfId="0" applyNumberFormat="1" applyFont="1"/>
    <xf numFmtId="165" fontId="22" fillId="0" borderId="0" xfId="0" applyNumberFormat="1" applyFont="1"/>
    <xf numFmtId="170" fontId="22" fillId="0" borderId="0" xfId="0" applyNumberFormat="1" applyFont="1"/>
    <xf numFmtId="0" fontId="10" fillId="3" borderId="0" xfId="0" applyFont="1" applyFill="1" applyAlignment="1">
      <alignment wrapText="1"/>
    </xf>
    <xf numFmtId="0" fontId="14" fillId="0" borderId="0" xfId="0" applyFont="1"/>
    <xf numFmtId="0" fontId="27" fillId="0" borderId="0" xfId="0" applyFont="1"/>
    <xf numFmtId="0" fontId="5" fillId="2" borderId="0" xfId="0" applyFont="1" applyFill="1" applyAlignment="1">
      <alignment wrapText="1"/>
    </xf>
    <xf numFmtId="0" fontId="7" fillId="2" borderId="0" xfId="0" applyFont="1" applyFill="1" applyProtection="1"/>
    <xf numFmtId="0" fontId="21" fillId="0" borderId="0" xfId="0" applyFont="1" applyProtection="1"/>
    <xf numFmtId="0" fontId="8" fillId="0" borderId="0" xfId="0" applyFont="1" applyProtection="1"/>
    <xf numFmtId="0" fontId="4" fillId="0" borderId="0" xfId="1" applyProtection="1"/>
    <xf numFmtId="0" fontId="10" fillId="3" borderId="0" xfId="0" applyFont="1" applyFill="1" applyAlignment="1" applyProtection="1">
      <alignment wrapText="1"/>
    </xf>
    <xf numFmtId="0" fontId="0" fillId="0" borderId="0" xfId="0" applyProtection="1"/>
    <xf numFmtId="0" fontId="6" fillId="2" borderId="0" xfId="0" applyFont="1" applyFill="1" applyAlignment="1" applyProtection="1">
      <alignment wrapText="1"/>
    </xf>
    <xf numFmtId="167" fontId="11" fillId="3" borderId="0" xfId="0" applyNumberFormat="1" applyFont="1" applyFill="1" applyAlignment="1" applyProtection="1">
      <alignment horizontal="right"/>
    </xf>
    <xf numFmtId="168" fontId="11" fillId="3" borderId="0" xfId="0" applyNumberFormat="1" applyFont="1" applyFill="1" applyAlignment="1" applyProtection="1">
      <alignment horizontal="right"/>
    </xf>
    <xf numFmtId="0" fontId="8" fillId="0" borderId="0" xfId="0" applyFont="1" applyAlignment="1" applyProtection="1">
      <alignment wrapText="1"/>
    </xf>
    <xf numFmtId="0" fontId="11" fillId="0" borderId="0" xfId="0" applyFont="1" applyProtection="1"/>
    <xf numFmtId="0" fontId="21" fillId="0" borderId="0" xfId="0" applyFont="1" applyAlignment="1" applyProtection="1">
      <alignment wrapText="1"/>
    </xf>
    <xf numFmtId="0" fontId="14" fillId="0" borderId="0" xfId="0" applyFont="1" applyAlignment="1" applyProtection="1">
      <alignment wrapText="1"/>
    </xf>
    <xf numFmtId="0" fontId="21" fillId="0" borderId="0" xfId="0" applyFont="1" applyAlignment="1" applyProtection="1">
      <alignment vertical="center"/>
    </xf>
    <xf numFmtId="0" fontId="24" fillId="0" borderId="3" xfId="0" applyFont="1" applyBorder="1" applyAlignment="1" applyProtection="1">
      <alignment vertical="center" wrapText="1"/>
    </xf>
    <xf numFmtId="167" fontId="24" fillId="0" borderId="3" xfId="0" applyNumberFormat="1" applyFont="1" applyBorder="1" applyAlignment="1" applyProtection="1">
      <alignment horizontal="right" vertical="center"/>
    </xf>
    <xf numFmtId="168" fontId="24" fillId="0" borderId="3" xfId="0" applyNumberFormat="1" applyFont="1" applyBorder="1" applyAlignment="1" applyProtection="1">
      <alignment horizontal="right" vertical="center"/>
    </xf>
    <xf numFmtId="0" fontId="24" fillId="0" borderId="4" xfId="0" applyFont="1" applyBorder="1" applyAlignment="1" applyProtection="1">
      <alignment vertical="center" wrapText="1"/>
    </xf>
    <xf numFmtId="167" fontId="24" fillId="0" borderId="4" xfId="0" applyNumberFormat="1" applyFont="1" applyBorder="1" applyAlignment="1" applyProtection="1">
      <alignment horizontal="right" vertical="center"/>
    </xf>
    <xf numFmtId="168" fontId="24" fillId="0" borderId="4" xfId="0" applyNumberFormat="1" applyFont="1" applyBorder="1" applyAlignment="1" applyProtection="1">
      <alignment horizontal="right" vertical="center"/>
    </xf>
    <xf numFmtId="0" fontId="24" fillId="0" borderId="5" xfId="0" applyFont="1" applyBorder="1" applyAlignment="1" applyProtection="1">
      <alignment vertical="center" wrapText="1"/>
    </xf>
    <xf numFmtId="167" fontId="24" fillId="0" borderId="5" xfId="0" applyNumberFormat="1" applyFont="1" applyBorder="1" applyAlignment="1" applyProtection="1">
      <alignment horizontal="right" vertical="center"/>
    </xf>
    <xf numFmtId="168" fontId="24" fillId="0" borderId="5" xfId="0" applyNumberFormat="1" applyFont="1" applyBorder="1" applyAlignment="1" applyProtection="1">
      <alignment horizontal="right" vertical="center"/>
    </xf>
    <xf numFmtId="0" fontId="25" fillId="0" borderId="0" xfId="0" applyFont="1" applyProtection="1"/>
    <xf numFmtId="0" fontId="25" fillId="0" borderId="0" xfId="0" applyFont="1" applyAlignment="1" applyProtection="1">
      <alignment horizontal="right"/>
    </xf>
    <xf numFmtId="0" fontId="25" fillId="0" borderId="0" xfId="0" applyFont="1" applyAlignment="1" applyProtection="1">
      <alignment wrapText="1"/>
    </xf>
    <xf numFmtId="167" fontId="25" fillId="0" borderId="0" xfId="0" applyNumberFormat="1" applyFont="1" applyAlignment="1" applyProtection="1">
      <alignment horizontal="right"/>
    </xf>
    <xf numFmtId="168" fontId="25" fillId="0" borderId="0" xfId="0" applyNumberFormat="1" applyFont="1" applyAlignment="1" applyProtection="1">
      <alignment horizontal="right"/>
    </xf>
    <xf numFmtId="0" fontId="26" fillId="0" borderId="2" xfId="0" applyFont="1" applyBorder="1" applyAlignment="1" applyProtection="1">
      <alignment wrapText="1"/>
    </xf>
    <xf numFmtId="167" fontId="26" fillId="0" borderId="2" xfId="0" applyNumberFormat="1" applyFont="1" applyBorder="1" applyAlignment="1" applyProtection="1">
      <alignment horizontal="right"/>
    </xf>
    <xf numFmtId="168" fontId="26" fillId="0" borderId="2" xfId="0" applyNumberFormat="1" applyFont="1" applyBorder="1" applyAlignment="1" applyProtection="1">
      <alignment horizontal="right"/>
    </xf>
    <xf numFmtId="168" fontId="26" fillId="0" borderId="2" xfId="0" applyNumberFormat="1" applyFont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39">
    <dxf>
      <font>
        <color rgb="FFB42332"/>
      </font>
      <fill>
        <patternFill patternType="solid">
          <fgColor indexed="64"/>
          <bgColor rgb="FFFDEBEC"/>
        </patternFill>
      </fill>
    </dxf>
    <dxf>
      <font>
        <color rgb="FF007F82"/>
      </font>
      <fill>
        <patternFill patternType="solid">
          <fgColor indexed="64"/>
          <bgColor rgb="FFEAF6F5"/>
        </patternFill>
      </fill>
    </dxf>
    <dxf>
      <fill>
        <patternFill patternType="solid">
          <fgColor indexed="64"/>
          <bgColor rgb="FFFFC7CE"/>
        </patternFill>
      </fill>
    </dxf>
    <dxf>
      <font>
        <color rgb="FF008000"/>
      </font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8000"/>
      </font>
    </dxf>
    <dxf>
      <font>
        <color rgb="FFB42332"/>
      </font>
      <fill>
        <patternFill patternType="solid">
          <fgColor indexed="64"/>
          <bgColor rgb="FFFDEBEC"/>
        </patternFill>
      </fill>
    </dxf>
    <dxf>
      <font>
        <color rgb="FFB42332"/>
      </font>
      <fill>
        <patternFill patternType="solid">
          <fgColor indexed="64"/>
          <bgColor rgb="FFFDEBEC"/>
        </patternFill>
      </fill>
    </dxf>
    <dxf>
      <font>
        <color rgb="FF9A6700"/>
      </font>
      <fill>
        <patternFill patternType="solid">
          <fgColor indexed="64"/>
          <bgColor rgb="FFFFF4DA"/>
        </patternFill>
      </fill>
    </dxf>
    <dxf>
      <font>
        <color rgb="FFB42332"/>
      </font>
      <fill>
        <patternFill patternType="solid">
          <fgColor indexed="64"/>
          <bgColor rgb="FFFDEBEC"/>
        </patternFill>
      </fill>
    </dxf>
    <dxf>
      <font>
        <b/>
        <color rgb="FFA22020"/>
      </font>
      <fill>
        <patternFill patternType="solid">
          <bgColor rgb="FFFCE6E6"/>
        </patternFill>
      </fill>
    </dxf>
    <dxf>
      <font>
        <b/>
        <color rgb="FFA22020"/>
      </font>
      <fill>
        <patternFill patternType="solid">
          <bgColor rgb="FFFCE6E6"/>
        </patternFill>
      </fill>
    </dxf>
    <dxf>
      <font>
        <color rgb="FF9C0006"/>
      </font>
      <fill>
        <patternFill patternType="solid">
          <fgColor indexed="64"/>
          <bgColor rgb="FFFFF2CC"/>
        </patternFill>
      </fill>
    </dxf>
    <dxf>
      <font>
        <color rgb="FFC00000"/>
      </font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color rgb="FF9A6700"/>
      </font>
      <fill>
        <patternFill patternType="solid">
          <fgColor indexed="64"/>
          <bgColor rgb="FFFFF4DA"/>
        </patternFill>
      </fill>
    </dxf>
    <dxf>
      <font>
        <color rgb="FF9A6700"/>
      </font>
      <fill>
        <patternFill patternType="solid">
          <fgColor indexed="64"/>
          <bgColor rgb="FFFFF4DA"/>
        </patternFill>
      </fill>
    </dxf>
    <dxf>
      <font>
        <color rgb="FF9A6700"/>
      </font>
      <fill>
        <patternFill patternType="solid">
          <fgColor indexed="64"/>
          <bgColor rgb="FFFFF4DA"/>
        </patternFill>
      </fill>
    </dxf>
    <dxf>
      <font>
        <color rgb="FFB42332"/>
      </font>
      <fill>
        <patternFill patternType="solid">
          <fgColor indexed="64"/>
          <bgColor rgb="FFFDEBEC"/>
        </patternFill>
      </fill>
    </dxf>
    <dxf>
      <font>
        <color rgb="FFB42332"/>
      </font>
      <fill>
        <patternFill patternType="solid">
          <fgColor indexed="64"/>
          <bgColor rgb="FFFDEBEC"/>
        </patternFill>
      </fill>
    </dxf>
    <dxf>
      <font>
        <color rgb="FFB42332"/>
      </font>
      <fill>
        <patternFill patternType="solid">
          <fgColor indexed="64"/>
          <bgColor rgb="FFFDEBE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30" formatCode="@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30" formatCode="@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169" formatCode="&quot;£&quot;#,##0.00;[Red]\(&quot;£&quot;#,##0.00\);&quot;£0.00&quot;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166" formatCode="dd\ mmm\ yyyy"/>
      <fill>
        <patternFill patternType="solid">
          <fgColor indexed="64"/>
          <bgColor rgb="FFEAF6F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167" formatCode="&quot;£&quot;#,##0;[Red]\(&quot;£&quot;#,##0\);&quot;£0&quot;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167" formatCode="&quot;£&quot;#,##0;[Red]\(&quot;£&quot;#,##0\);&quot;£0&quot;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168" formatCode="0.0%;[Red]\(0.0%\);0.0%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167" formatCode="&quot;£&quot;#,##0;[Red]\(&quot;£&quot;#,##0\);&quot;£0&quot;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numFmt numFmtId="167" formatCode="&quot;£&quot;#,##0;[Red]\(&quot;£&quot;#,##0\);&quot;£0&quot;"/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scheme val="none"/>
      </font>
      <fill>
        <patternFill patternType="solid">
          <fgColor indexed="64"/>
          <bgColor rgb="FF142B3C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scheme val="none"/>
      </font>
      <fill>
        <patternFill patternType="solid">
          <fgColor indexed="64"/>
          <bgColor rgb="FF142B3C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fill>
        <patternFill patternType="solid">
          <fgColor indexed="64"/>
          <bgColor rgb="FFEAF6F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fill>
        <patternFill patternType="solid">
          <fgColor indexed="64"/>
          <bgColor rgb="FFEAF6F5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'HODASSA Calculations'!$AF$14</c:f>
          <c:strCache>
            <c:ptCount val="1"/>
            <c:pt idx="0">
              <c:v>Budget vs forecast cost | GBP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'HODASSA Calculations'!$AG$18</c:f>
              <c:strCache>
                <c:ptCount val="1"/>
                <c:pt idx="0">
                  <c:v>Cost budget</c:v>
                </c:pt>
              </c:strCache>
            </c:strRef>
          </c:tx>
          <c:spPr>
            <a:solidFill>
              <a:srgbClr val="B9C8D2"/>
            </a:solidFill>
            <a:ln>
              <a:noFill/>
            </a:ln>
            <a:effectLst/>
          </c:spPr>
          <c:invertIfNegative val="0"/>
          <c:cat>
            <c:strRef>
              <c:f>'HODASSA Calculations'!$AF$19:$AF$23</c:f>
              <c:strCache>
                <c:ptCount val="5"/>
                <c:pt idx="0">
                  <c:v>Heathrow AHU Upgrade</c:v>
                </c:pt>
                <c:pt idx="1">
                  <c:v>Bristol HVAC Retrofit</c:v>
                </c:pt>
                <c:pt idx="2">
                  <c:v>Surrey Process Cooling</c:v>
                </c:pt>
                <c:pt idx="3">
                  <c:v>Reading Boiler Replacement</c:v>
                </c:pt>
                <c:pt idx="4">
                  <c:v>Oxford Cleanroom Ventilation</c:v>
                </c:pt>
              </c:strCache>
            </c:strRef>
          </c:cat>
          <c:val>
            <c:numRef>
              <c:f>'HODASSA Calculations'!$AG$19:$AG$23</c:f>
              <c:numCache>
                <c:formatCode>"£"#,##0;[Red]\("£"#,##0\);"£0"</c:formatCode>
                <c:ptCount val="5"/>
                <c:pt idx="0">
                  <c:v>151700</c:v>
                </c:pt>
                <c:pt idx="1">
                  <c:v>71760</c:v>
                </c:pt>
                <c:pt idx="2">
                  <c:v>201600</c:v>
                </c:pt>
                <c:pt idx="3">
                  <c:v>60800</c:v>
                </c:pt>
                <c:pt idx="4">
                  <c:v>235600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1-4128-8202-5C9AF04F3521}"/>
            </c:ext>
          </c:extLst>
        </c:ser>
        <c:ser>
          <c:idx val="1"/>
          <c:order val="1"/>
          <c:tx>
            <c:strRef>
              <c:f>'HODASSA Calculations'!$AH$18</c:f>
              <c:strCache>
                <c:ptCount val="1"/>
                <c:pt idx="0">
                  <c:v>Forecast cost</c:v>
                </c:pt>
              </c:strCache>
            </c:strRef>
          </c:tx>
          <c:spPr>
            <a:solidFill>
              <a:srgbClr val="147D92"/>
            </a:solidFill>
            <a:ln>
              <a:noFill/>
            </a:ln>
            <a:effectLst/>
          </c:spPr>
          <c:invertIfNegative val="0"/>
          <c:cat>
            <c:strRef>
              <c:f>'HODASSA Calculations'!$AF$19:$AF$23</c:f>
              <c:strCache>
                <c:ptCount val="5"/>
                <c:pt idx="0">
                  <c:v>Heathrow AHU Upgrade</c:v>
                </c:pt>
                <c:pt idx="1">
                  <c:v>Bristol HVAC Retrofit</c:v>
                </c:pt>
                <c:pt idx="2">
                  <c:v>Surrey Process Cooling</c:v>
                </c:pt>
                <c:pt idx="3">
                  <c:v>Reading Boiler Replacement</c:v>
                </c:pt>
                <c:pt idx="4">
                  <c:v>Oxford Cleanroom Ventilation</c:v>
                </c:pt>
              </c:strCache>
            </c:strRef>
          </c:cat>
          <c:val>
            <c:numRef>
              <c:f>'HODASSA Calculations'!$AH$19:$AH$23</c:f>
              <c:numCache>
                <c:formatCode>"£"#,##0;[Red]\("£"#,##0\);"£0"</c:formatCode>
                <c:ptCount val="5"/>
                <c:pt idx="0">
                  <c:v>131000</c:v>
                </c:pt>
                <c:pt idx="1">
                  <c:v>83900</c:v>
                </c:pt>
                <c:pt idx="2">
                  <c:v>213100</c:v>
                </c:pt>
                <c:pt idx="3">
                  <c:v>82900</c:v>
                </c:pt>
                <c:pt idx="4">
                  <c:v>266700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1-4128-8202-5C9AF04F3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02338728"/>
        <c:axId val="402342952"/>
      </c:barChart>
      <c:catAx>
        <c:axId val="4023387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342952"/>
        <c:crosses val="autoZero"/>
        <c:auto val="1"/>
        <c:lblAlgn val="ctr"/>
        <c:lblOffset val="100"/>
        <c:noMultiLvlLbl val="0"/>
      </c:catAx>
      <c:valAx>
        <c:axId val="4023429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&gt;=1]\£#,##0;[&lt;=-1]\(\£#,##0\);&quot;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338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'HODASSA Calculations'!$AJ$14</c:f>
          <c:strCache>
            <c:ptCount val="1"/>
            <c:pt idx="0">
              <c:v>Forecast profit / loss | GBP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'HODASSA Calculations'!$AK$18</c:f>
              <c:strCache>
                <c:ptCount val="1"/>
                <c:pt idx="0">
                  <c:v>Forecast profit / loss</c:v>
                </c:pt>
              </c:strCache>
            </c:strRef>
          </c:tx>
          <c:spPr>
            <a:solidFill>
              <a:srgbClr val="147D92"/>
            </a:solidFill>
            <a:ln>
              <a:noFill/>
            </a:ln>
            <a:effectLst/>
          </c:spPr>
          <c:invertIfNegative val="1"/>
          <c:cat>
            <c:strRef>
              <c:f>'HODASSA Calculations'!$AJ$19:$AJ$23</c:f>
              <c:strCache>
                <c:ptCount val="5"/>
                <c:pt idx="0">
                  <c:v>Heathrow AHU Upgrade</c:v>
                </c:pt>
                <c:pt idx="1">
                  <c:v>Bristol HVAC Retrofit</c:v>
                </c:pt>
                <c:pt idx="2">
                  <c:v>Surrey Process Cooling</c:v>
                </c:pt>
                <c:pt idx="3">
                  <c:v>Reading Boiler Replacement</c:v>
                </c:pt>
                <c:pt idx="4">
                  <c:v>Oxford Cleanroom Ventilation</c:v>
                </c:pt>
              </c:strCache>
            </c:strRef>
          </c:cat>
          <c:val>
            <c:numRef>
              <c:f>'HODASSA Calculations'!$AK$19:$AK$23</c:f>
              <c:numCache>
                <c:formatCode>"£"#,##0;[Red]\("£"#,##0\);"£0"</c:formatCode>
                <c:ptCount val="5"/>
                <c:pt idx="0">
                  <c:v>54000</c:v>
                </c:pt>
                <c:pt idx="1">
                  <c:v>8100</c:v>
                </c:pt>
                <c:pt idx="2">
                  <c:v>26900</c:v>
                </c:pt>
                <c:pt idx="3">
                  <c:v>-6900</c:v>
                </c:pt>
                <c:pt idx="4">
                  <c:v>43300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C00000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D533-42DE-85AC-8329A0C9E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9662776"/>
        <c:axId val="609661368"/>
      </c:barChart>
      <c:catAx>
        <c:axId val="6096627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661368"/>
        <c:crosses val="autoZero"/>
        <c:auto val="1"/>
        <c:lblAlgn val="ctr"/>
        <c:lblOffset val="100"/>
        <c:noMultiLvlLbl val="0"/>
      </c:catAx>
      <c:valAx>
        <c:axId val="60966136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&gt;=1]\£#,##0;[&lt;=-1]\(\£#,##0\);&quot;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66277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5</xdr:col>
      <xdr:colOff>0</xdr:colOff>
      <xdr:row>49</xdr:row>
      <xdr:rowOff>0</xdr:rowOff>
    </xdr:to>
    <xdr:graphicFrame macro="">
      <xdr:nvGraphicFramePr>
        <xdr:cNvPr id="9" name="HODASSA Budget vs Forecast">
          <a:extLst>
            <a:ext uri="{FF2B5EF4-FFF2-40B4-BE49-F238E27FC236}">
              <a16:creationId xmlns:a16="http://schemas.microsoft.com/office/drawing/2014/main" id="{54DC49AD-7545-EEA8-5F19-883964E172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32</xdr:row>
      <xdr:rowOff>0</xdr:rowOff>
    </xdr:from>
    <xdr:to>
      <xdr:col>8</xdr:col>
      <xdr:colOff>0</xdr:colOff>
      <xdr:row>49</xdr:row>
      <xdr:rowOff>0</xdr:rowOff>
    </xdr:to>
    <xdr:graphicFrame macro="">
      <xdr:nvGraphicFramePr>
        <xdr:cNvPr id="10" name="HODASSA Forecast Profit Loss">
          <a:extLst>
            <a:ext uri="{FF2B5EF4-FFF2-40B4-BE49-F238E27FC236}">
              <a16:creationId xmlns:a16="http://schemas.microsoft.com/office/drawing/2014/main" id="{66485526-C505-1BF3-EF3F-6992327886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ábio Teixeira" id="{DBE5AAAB-E64E-4B17-9775-A01CD38411DA}" userId="d63e54a00ea34615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16E7DD-8E2E-4CA8-8B9C-B9EFA336D345}" name="hdProjects" displayName="hdProjects" ref="A6:H11" totalsRowShown="0" headerRowDxfId="31" dataDxfId="36">
  <autoFilter ref="A6:H11" xr:uid="{2916E7DD-8E2E-4CA8-8B9C-B9EFA336D345}"/>
  <tableColumns count="8">
    <tableColumn id="1" xr3:uid="{FA0B43FC-0477-42A5-85CE-071EFA82E5C7}" name="Job ID" dataDxfId="22"/>
    <tableColumn id="2" xr3:uid="{9FC05FFB-86C3-49EC-AC7B-38CDE52DB0EE}" name="Project" dataDxfId="38"/>
    <tableColumn id="3" xr3:uid="{2F88256B-563E-4769-8341-CB8AE80B8C56}" name="Owner" dataDxfId="37"/>
    <tableColumn id="4" xr3:uid="{C36B1457-82D4-4C46-8290-DA941978A1C9}" name="Contract GBP" dataDxfId="29"/>
    <tableColumn id="5" xr3:uid="{0BD16A18-EC5A-4574-99C0-D20B56F97777}" name="Budget GBP" dataDxfId="28"/>
    <tableColumn id="6" xr3:uid="{9328AAFE-AAE8-47ED-96ED-C0A77CF5EB38}" name="Progress" dataDxfId="27"/>
    <tableColumn id="7" xr3:uid="{8547D9EB-1947-4360-BA38-3E40D25C8FA5}" name="Open POs GBP" dataDxfId="26"/>
    <tableColumn id="8" xr3:uid="{ED6C06E3-0C49-4B10-A0BF-97F86C02CE33}" name="Unplaced ETC" dataDxfId="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20F0EE-129D-49C8-907E-C76B4B4A13D6}" name="hdCosts" displayName="hdCosts" ref="A6:F21" totalsRowShown="0" headerRowDxfId="30" dataDxfId="32">
  <autoFilter ref="A6:F21" xr:uid="{C020F0EE-129D-49C8-907E-C76B4B4A13D6}"/>
  <tableColumns count="6">
    <tableColumn id="1" xr3:uid="{E1C9EF11-1243-451A-A2D1-A7A74B7F9658}" name="Cost ID" dataDxfId="35"/>
    <tableColumn id="2" xr3:uid="{EB051293-F6AC-40DC-820C-F83FA7B049E5}" name="Date" dataDxfId="24"/>
    <tableColumn id="3" xr3:uid="{AAE4121D-90AF-4AB1-A828-D2BCC90E5246}" name="Job ID" dataDxfId="21"/>
    <tableColumn id="4" xr3:uid="{745460E6-C899-4861-8C22-77D082F77F3D}" name="Description" dataDxfId="34"/>
    <tableColumn id="5" xr3:uid="{AD3848E2-1467-463D-99F1-CF8077CC9E83}" name="Quantity" dataDxfId="33"/>
    <tableColumn id="6" xr3:uid="{40D3C0AB-257C-499C-B3E3-7281997D7483}" name="Rate GBP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" dT="2026-10-10T10:13:40.59" personId="{DBE5AAAB-E64E-4B17-9775-A01CD38411DA}" id="{8DA21B42-60F8-4C40-AB57-203034A0E312}">
    <text>Source: original Portfolio!B4 cutoff, 30 September 2026. Single reporting-date control for revised calculations. Changing it changes actual-cost eligibility; refresh remaining POs and ETC to the same date.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6-10-10T10:13:40.45" personId="{DBE5AAAB-E64E-4B17-9775-A01CD38411DA}" id="{4950E050-462A-40A5-92A4-68A4F3417FCC}">
    <text>Source: supplied fictional HODASSA demo | Original Projects!B7 | Baseline 30 September 2026 | Editable project input.</text>
  </threadedComment>
  <threadedComment ref="C7" dT="2026-10-10T10:13:40.45" personId="{DBE5AAAB-E64E-4B17-9775-A01CD38411DA}" id="{DE98D159-BEF2-4040-997E-09E7907C0F59}">
    <text>Source: supplied fictional HODASSA demo | Original Projects!C7 | Baseline 30 September 2026 | Editable project input.</text>
  </threadedComment>
  <threadedComment ref="D7" dT="2026-10-10T10:13:40.46" personId="{DBE5AAAB-E64E-4B17-9775-A01CD38411DA}" id="{7A5D9229-9275-4548-8E68-883B2397E7D4}">
    <text>Source: supplied fictional HODASSA demo | Original Projects!D7 | Baseline 30 September 2026 | Editable project input.</text>
  </threadedComment>
  <threadedComment ref="E7" dT="2026-10-10T10:13:40.46" personId="{DBE5AAAB-E64E-4B17-9775-A01CD38411DA}" id="{BEF0BBC4-E5D6-4D8B-8FB6-5A681C17322A}">
    <text>Source: supplied fictional HODASSA demo | Original Projects!E7 | Baseline 30 September 2026 | Editable project input.</text>
  </threadedComment>
  <threadedComment ref="F7" dT="2026-10-10T10:13:40.46" personId="{DBE5AAAB-E64E-4B17-9775-A01CD38411DA}" id="{58BF0E6B-2FB5-419D-B661-8B6A32845138}">
    <text>Source: supplied fictional HODASSA demo | Original Projects!F7 | Baseline 30 September 2026 | Editable project input.</text>
  </threadedComment>
  <threadedComment ref="G7" dT="2026-10-10T10:13:40.46" personId="{DBE5AAAB-E64E-4B17-9775-A01CD38411DA}" id="{1DD36138-91FB-43C8-B050-4D17ABBD7380}">
    <text>Source: supplied fictional HODASSA demo | Original Projects!G7 | Baseline 30 September 2026 | Editable project input.</text>
  </threadedComment>
  <threadedComment ref="H7" dT="2026-10-10T10:13:40.46" personId="{DBE5AAAB-E64E-4B17-9775-A01CD38411DA}" id="{ED647BAA-DFB5-43A7-AE34-730B424EC196}">
    <text>Source: supplied fictional HODASSA demo | Original Projects!H7 | Baseline 30 September 2026 | Editable project input.</text>
  </threadedComment>
  <threadedComment ref="A8" dT="2026-10-10T10:13:40.46" personId="{DBE5AAAB-E64E-4B17-9775-A01CD38411DA}" id="{541D990A-7E1A-4742-8CDE-332FD6941A3B}">
    <text>Source: supplied fictional HODASSA demo | Original Projects!A8 | Baseline 30 September 2026 | Editable project input.</text>
  </threadedComment>
  <threadedComment ref="B8" dT="2026-10-10T10:13:40.46" personId="{DBE5AAAB-E64E-4B17-9775-A01CD38411DA}" id="{24C21B9B-1875-43C0-9392-D0565CB09AC0}">
    <text>Source: supplied fictional HODASSA demo | Original Projects!B8 | Baseline 30 September 2026 | Editable project input.</text>
  </threadedComment>
  <threadedComment ref="C8" dT="2026-10-10T10:13:40.46" personId="{DBE5AAAB-E64E-4B17-9775-A01CD38411DA}" id="{EBD48183-1712-40AB-98A7-EF9C1D1D86E0}">
    <text>Source: supplied fictional HODASSA demo | Original Projects!C8 | Baseline 30 September 2026 | Editable project input.</text>
  </threadedComment>
  <threadedComment ref="D8" dT="2026-10-10T10:13:40.46" personId="{DBE5AAAB-E64E-4B17-9775-A01CD38411DA}" id="{C70DE9B7-A8C1-49E8-994A-416AFB0EBEC9}">
    <text>Source: supplied fictional HODASSA demo | Original Projects!D8 | Baseline 30 September 2026 | Editable project input.</text>
  </threadedComment>
  <threadedComment ref="E8" dT="2026-10-10T10:13:40.46" personId="{DBE5AAAB-E64E-4B17-9775-A01CD38411DA}" id="{B7957C1F-D581-4C79-ACB1-96466F44AFA5}">
    <text>Source: supplied fictional HODASSA demo | Original Projects!E8 | Baseline 30 September 2026 | Editable project input.</text>
  </threadedComment>
  <threadedComment ref="F8" dT="2026-10-10T10:13:40.46" personId="{DBE5AAAB-E64E-4B17-9775-A01CD38411DA}" id="{068AE91B-6162-4A81-A1CC-71A590E709E0}">
    <text>Source: supplied fictional HODASSA demo | Original Projects!F8 | Baseline 30 September 2026 | Editable project input.</text>
  </threadedComment>
  <threadedComment ref="G8" dT="2026-10-10T10:13:40.46" personId="{DBE5AAAB-E64E-4B17-9775-A01CD38411DA}" id="{EF52622B-2A4E-422A-8861-31B6354EC250}">
    <text>Source: supplied fictional HODASSA demo | Original Projects!G8 | Baseline 30 September 2026 | Editable project input.</text>
  </threadedComment>
  <threadedComment ref="H8" dT="2026-10-10T10:13:40.46" personId="{DBE5AAAB-E64E-4B17-9775-A01CD38411DA}" id="{029F6A19-E142-4DC1-A799-9E304BE96423}">
    <text>Source: supplied fictional HODASSA demo | Original Projects!H8 | Baseline 30 September 2026 | Editable project input.</text>
  </threadedComment>
  <threadedComment ref="A9" dT="2026-10-10T10:13:40.46" personId="{DBE5AAAB-E64E-4B17-9775-A01CD38411DA}" id="{BD8074E0-1EF0-47D6-B5BB-333C5158601B}">
    <text>Source: supplied fictional HODASSA demo | Original Projects!A9 | Baseline 30 September 2026 | Editable project input.</text>
  </threadedComment>
  <threadedComment ref="B9" dT="2026-10-10T10:13:40.47" personId="{DBE5AAAB-E64E-4B17-9775-A01CD38411DA}" id="{32D39439-9D42-4814-BE1A-EC6E33E93E2F}">
    <text>Source: supplied fictional HODASSA demo | Original Projects!B9 | Baseline 30 September 2026 | Editable project input.</text>
  </threadedComment>
  <threadedComment ref="C9" dT="2026-10-10T10:13:40.47" personId="{DBE5AAAB-E64E-4B17-9775-A01CD38411DA}" id="{0A17689D-C037-4ADF-AC35-44789762B42F}">
    <text>Source: supplied fictional HODASSA demo | Original Projects!C9 | Baseline 30 September 2026 | Editable project input.</text>
  </threadedComment>
  <threadedComment ref="D9" dT="2026-10-10T10:13:40.47" personId="{DBE5AAAB-E64E-4B17-9775-A01CD38411DA}" id="{CF936E17-E335-4E2A-AB36-D1CF3BDB5059}">
    <text>Source: supplied fictional HODASSA demo | Original Projects!D9 | Baseline 30 September 2026 | Editable project input.</text>
  </threadedComment>
  <threadedComment ref="E9" dT="2026-10-10T10:13:40.47" personId="{DBE5AAAB-E64E-4B17-9775-A01CD38411DA}" id="{230B2A59-585C-422F-8195-0CDE446AB997}">
    <text>Source: supplied fictional HODASSA demo | Original Projects!E9 | Baseline 30 September 2026 | Editable project input.</text>
  </threadedComment>
  <threadedComment ref="F9" dT="2026-10-10T10:13:40.47" personId="{DBE5AAAB-E64E-4B17-9775-A01CD38411DA}" id="{4E3D39D1-528F-44F1-BDD9-F6B1F23E4FE7}">
    <text>Source: supplied fictional HODASSA demo | Original Projects!F9 | Baseline 30 September 2026 | Editable project input.</text>
  </threadedComment>
  <threadedComment ref="G9" dT="2026-10-10T10:13:40.47" personId="{DBE5AAAB-E64E-4B17-9775-A01CD38411DA}" id="{8AEE8E0C-EE37-4CF5-836A-0116449ED15C}">
    <text>Source: supplied fictional HODASSA demo | Original Projects!G9 | Baseline 30 September 2026 | Editable project input.</text>
  </threadedComment>
  <threadedComment ref="H9" dT="2026-10-10T10:13:40.47" personId="{DBE5AAAB-E64E-4B17-9775-A01CD38411DA}" id="{9C0F432E-8DC8-4A59-8D41-8D0CBF3202BA}">
    <text>Source: supplied fictional HODASSA demo | Original Projects!H9 | Baseline 30 September 2026 | Editable project input.</text>
  </threadedComment>
  <threadedComment ref="A10" dT="2026-10-10T10:13:40.47" personId="{DBE5AAAB-E64E-4B17-9775-A01CD38411DA}" id="{60CB3507-7682-4620-A18E-98B57083012A}">
    <text>Source: supplied fictional HODASSA demo | Original Projects!A10 | Baseline 30 September 2026 | Editable project input.</text>
  </threadedComment>
  <threadedComment ref="B10" dT="2026-10-10T10:13:40.47" personId="{DBE5AAAB-E64E-4B17-9775-A01CD38411DA}" id="{5337A3E8-18BD-4D26-B660-B799FBFFA0F1}">
    <text>Source: supplied fictional HODASSA demo | Original Projects!B10 | Baseline 30 September 2026 | Editable project input.</text>
  </threadedComment>
  <threadedComment ref="C10" dT="2026-10-10T10:13:40.47" personId="{DBE5AAAB-E64E-4B17-9775-A01CD38411DA}" id="{6010E333-5F1C-49F3-846B-CB7F10B7E904}">
    <text>Source: supplied fictional HODASSA demo | Original Projects!C10 | Baseline 30 September 2026 | Editable project input.</text>
  </threadedComment>
  <threadedComment ref="D10" dT="2026-10-10T10:13:40.47" personId="{DBE5AAAB-E64E-4B17-9775-A01CD38411DA}" id="{689E6C59-2F8A-473F-8F72-E030B33EAEFD}">
    <text>Source: supplied fictional HODASSA demo | Original Projects!D10 | Baseline 30 September 2026 | Editable project input.</text>
  </threadedComment>
  <threadedComment ref="E10" dT="2026-10-10T10:13:40.47" personId="{DBE5AAAB-E64E-4B17-9775-A01CD38411DA}" id="{48AB75BD-E5D9-4128-98AA-0111104BE504}">
    <text>Source: supplied fictional HODASSA demo | Original Projects!E10 | Baseline 30 September 2026 | Editable project input.</text>
  </threadedComment>
  <threadedComment ref="F10" dT="2026-10-10T10:13:40.47" personId="{DBE5AAAB-E64E-4B17-9775-A01CD38411DA}" id="{BF9E1668-7519-488A-8ED9-1871F18A0239}">
    <text>Source: supplied fictional HODASSA demo | Original Projects!F10 | Baseline 30 September 2026 | Editable project input.</text>
  </threadedComment>
  <threadedComment ref="G10" dT="2026-10-10T10:13:40.49" personId="{DBE5AAAB-E64E-4B17-9775-A01CD38411DA}" id="{C1F310DF-9A3A-4B62-94B5-098E125666F0}">
    <text>Source: supplied fictional HODASSA demo | Original Projects!G10 | Baseline 30 September 2026 | Editable project input.</text>
  </threadedComment>
  <threadedComment ref="H10" dT="2026-10-10T10:13:40.49" personId="{DBE5AAAB-E64E-4B17-9775-A01CD38411DA}" id="{F5910E6C-E002-438C-B068-759F986A8BE7}">
    <text>Source: supplied fictional HODASSA demo | Original Projects!H10 | Baseline 30 September 2026 | Editable project input.</text>
  </threadedComment>
  <threadedComment ref="A11" dT="2026-10-10T10:13:40.49" personId="{DBE5AAAB-E64E-4B17-9775-A01CD38411DA}" id="{7121706B-AFCB-4D31-A51D-77868B6ED1BB}">
    <text>Source: supplied fictional HODASSA demo | Original Projects!A11 | Baseline 30 September 2026 | Editable project input.</text>
  </threadedComment>
  <threadedComment ref="B11" dT="2026-10-10T10:13:40.49" personId="{DBE5AAAB-E64E-4B17-9775-A01CD38411DA}" id="{7C09B3C6-9933-4AE7-97CA-F5A91271266C}">
    <text>Source: supplied fictional HODASSA demo | Original Projects!B11 | Baseline 30 September 2026 | Editable project input.</text>
  </threadedComment>
  <threadedComment ref="C11" dT="2026-10-10T10:13:40.49" personId="{DBE5AAAB-E64E-4B17-9775-A01CD38411DA}" id="{8798F93C-C532-4AEC-A779-F543F1C4C043}">
    <text>Source: supplied fictional HODASSA demo | Original Projects!C11 | Baseline 30 September 2026 | Editable project input.</text>
  </threadedComment>
  <threadedComment ref="D11" dT="2026-10-10T10:13:40.49" personId="{DBE5AAAB-E64E-4B17-9775-A01CD38411DA}" id="{BA472979-9C1A-4642-96F9-E843F5432D2E}">
    <text>Source: supplied fictional HODASSA demo | Original Projects!D11 | Baseline 30 September 2026 | Editable project input.</text>
  </threadedComment>
  <threadedComment ref="E11" dT="2026-10-10T10:13:40.49" personId="{DBE5AAAB-E64E-4B17-9775-A01CD38411DA}" id="{99673093-83C1-494B-8EE0-C674FA790DE4}">
    <text>Source: supplied fictional HODASSA demo | Original Projects!E11 | Baseline 30 September 2026 | Editable project input.</text>
  </threadedComment>
  <threadedComment ref="F11" dT="2026-10-10T10:13:40.49" personId="{DBE5AAAB-E64E-4B17-9775-A01CD38411DA}" id="{FAE07A9A-1D41-4E38-AEF4-CE546E8865A5}">
    <text>Source: supplied fictional HODASSA demo | Original Projects!F11 | Baseline 30 September 2026 | Editable project input.</text>
  </threadedComment>
  <threadedComment ref="G11" dT="2026-10-10T10:13:40.49" personId="{DBE5AAAB-E64E-4B17-9775-A01CD38411DA}" id="{8279BA34-4515-4030-B1EA-B32E2ED03322}">
    <text>Source: supplied fictional HODASSA demo | Original Projects!G11 | Baseline 30 September 2026 | Editable project input.</text>
  </threadedComment>
  <threadedComment ref="H11" dT="2026-10-10T10:13:40.49" personId="{DBE5AAAB-E64E-4B17-9775-A01CD38411DA}" id="{90D3A351-11F0-4540-8514-431BF742781B}">
    <text>Source: supplied fictional HODASSA demo | Original Projects!H11 | Baseline 30 September 2026 | Editable project input.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7" dT="2026-10-10T10:13:40.49" personId="{DBE5AAAB-E64E-4B17-9775-A01CD38411DA}" id="{E2FF747B-1E06-48B3-B41A-FFC58ADD46A3}">
    <text>Source: supplied fictional HODASSA demo | Original Cost log!B7 | Baseline 30 September 2026 | Editable cost input; GBP excluding VAT.</text>
  </threadedComment>
  <threadedComment ref="C7" dT="2026-10-10T10:13:40.49" personId="{DBE5AAAB-E64E-4B17-9775-A01CD38411DA}" id="{7C38055A-D1E7-4EA4-A795-833B5B6840EA}">
    <text>Source: supplied fictional HODASSA demo | Original Cost log!C7 | Baseline 30 September 2026 | Editable cost input; GBP excluding VAT.</text>
  </threadedComment>
  <threadedComment ref="D7" dT="2026-10-10T10:13:40.49" personId="{DBE5AAAB-E64E-4B17-9775-A01CD38411DA}" id="{9B0494E6-9A96-462F-B8CA-1F7D2E40F7F2}">
    <text>Source: supplied fictional HODASSA demo | Original Cost log!D7 | Baseline 30 September 2026 | Editable cost input; GBP excluding VAT.</text>
  </threadedComment>
  <threadedComment ref="E7" dT="2026-10-10T10:13:40.50" personId="{DBE5AAAB-E64E-4B17-9775-A01CD38411DA}" id="{96CB40BD-BF98-4319-A415-9B1C6B87EDF5}">
    <text>Source: supplied fictional HODASSA demo | Original Cost log!E7 | Baseline 30 September 2026 | Editable cost input; GBP excluding VAT.</text>
  </threadedComment>
  <threadedComment ref="F7" dT="2026-10-10T10:13:40.50" personId="{DBE5AAAB-E64E-4B17-9775-A01CD38411DA}" id="{1A672038-FC73-49D6-B286-A5F6C3459958}">
    <text>Source: supplied fictional HODASSA demo | Original Cost log!F7 | Baseline 30 September 2026 | Editable cost input; GBP excluding VAT.</text>
  </threadedComment>
  <threadedComment ref="A8" dT="2026-10-10T10:13:40.50" personId="{DBE5AAAB-E64E-4B17-9775-A01CD38411DA}" id="{EFA6F61A-0A39-45FE-B0B8-8659054CA8DB}">
    <text>Source: supplied fictional HODASSA demo | Original Cost log!A8 | Baseline 30 September 2026 | Editable cost input; GBP excluding VAT.</text>
  </threadedComment>
  <threadedComment ref="B8" dT="2026-10-10T10:13:40.50" personId="{DBE5AAAB-E64E-4B17-9775-A01CD38411DA}" id="{6095E23D-F854-4821-99B7-19D5C1BEA4A7}">
    <text>Source: supplied fictional HODASSA demo | Original Cost log!B8 | Baseline 30 September 2026 | Editable cost input; GBP excluding VAT.</text>
  </threadedComment>
  <threadedComment ref="C8" dT="2026-10-10T10:13:40.50" personId="{DBE5AAAB-E64E-4B17-9775-A01CD38411DA}" id="{55B3E635-67D5-4F2D-B52C-1744B08E76F4}">
    <text>Source: supplied fictional HODASSA demo | Original Cost log!C8 | Baseline 30 September 2026 | Editable cost input; GBP excluding VAT.</text>
  </threadedComment>
  <threadedComment ref="D8" dT="2026-10-10T10:13:40.50" personId="{DBE5AAAB-E64E-4B17-9775-A01CD38411DA}" id="{87A573BD-FDFC-4CED-9487-0DCEBBB82207}">
    <text>Source: supplied fictional HODASSA demo | Original Cost log!D8 | Baseline 30 September 2026 | Editable cost input; GBP excluding VAT.</text>
  </threadedComment>
  <threadedComment ref="E8" dT="2026-10-10T10:13:40.50" personId="{DBE5AAAB-E64E-4B17-9775-A01CD38411DA}" id="{858B784F-9B38-43FE-A09E-EF77E0237566}">
    <text>Source: supplied fictional HODASSA demo | Original Cost log!E8 | Baseline 30 September 2026 | Editable cost input; GBP excluding VAT.</text>
  </threadedComment>
  <threadedComment ref="F8" dT="2026-10-10T10:13:40.50" personId="{DBE5AAAB-E64E-4B17-9775-A01CD38411DA}" id="{CB7CF368-00D5-4EA8-A016-873C843E87F8}">
    <text>Source: supplied fictional HODASSA demo | Original Cost log!F8 | Baseline 30 September 2026 | Editable cost input; GBP excluding VAT.</text>
  </threadedComment>
  <threadedComment ref="A9" dT="2026-10-10T10:13:40.50" personId="{DBE5AAAB-E64E-4B17-9775-A01CD38411DA}" id="{514659B0-14F4-4B16-9F86-4CFA34B81F81}">
    <text>Source: supplied fictional HODASSA demo | Original Cost log!A9 | Baseline 30 September 2026 | Editable cost input; GBP excluding VAT.</text>
  </threadedComment>
  <threadedComment ref="B9" dT="2026-10-10T10:13:40.50" personId="{DBE5AAAB-E64E-4B17-9775-A01CD38411DA}" id="{D2FB0FE0-5611-46A6-B321-174755B62F77}">
    <text>Source: supplied fictional HODASSA demo | Original Cost log!B9 | Baseline 30 September 2026 | Editable cost input; GBP excluding VAT.</text>
  </threadedComment>
  <threadedComment ref="C9" dT="2026-10-10T10:13:40.50" personId="{DBE5AAAB-E64E-4B17-9775-A01CD38411DA}" id="{55D4C1FE-5305-4C35-A764-9E24D9C5E096}">
    <text>Source: supplied fictional HODASSA demo | Original Cost log!C9 | Baseline 30 September 2026 | Editable cost input; GBP excluding VAT.</text>
  </threadedComment>
  <threadedComment ref="D9" dT="2026-10-10T10:13:40.50" personId="{DBE5AAAB-E64E-4B17-9775-A01CD38411DA}" id="{676ACE55-3E8A-4460-8323-ACAD58EDA039}">
    <text>Source: supplied fictional HODASSA demo | Original Cost log!D9 | Baseline 30 September 2026 | Editable cost input; GBP excluding VAT.</text>
  </threadedComment>
  <threadedComment ref="E9" dT="2026-10-10T10:13:40.50" personId="{DBE5AAAB-E64E-4B17-9775-A01CD38411DA}" id="{3FBD8246-C2B5-458B-81CD-B9A9F16AC046}">
    <text>Source: supplied fictional HODASSA demo | Original Cost log!E9 | Baseline 30 September 2026 | Editable cost input; GBP excluding VAT.</text>
  </threadedComment>
  <threadedComment ref="F9" dT="2026-10-10T10:13:40.50" personId="{DBE5AAAB-E64E-4B17-9775-A01CD38411DA}" id="{F1F81B5F-2B4B-4A7D-9AE4-9A9939B9B62A}">
    <text>Source: supplied fictional HODASSA demo | Original Cost log!F9 | Baseline 30 September 2026 | Editable cost input; GBP excluding VAT.</text>
  </threadedComment>
  <threadedComment ref="A10" dT="2026-10-10T10:13:40.52" personId="{DBE5AAAB-E64E-4B17-9775-A01CD38411DA}" id="{CD2F1071-7AC0-4D44-A3BF-D88FEC77A35C}">
    <text>Source: supplied fictional HODASSA demo | Original Cost log!A10 | Baseline 30 September 2026 | Editable cost input; GBP excluding VAT.</text>
  </threadedComment>
  <threadedComment ref="B10" dT="2026-10-10T10:13:40.52" personId="{DBE5AAAB-E64E-4B17-9775-A01CD38411DA}" id="{96A3CDED-3E8C-491B-B03B-2C0F3477B30C}">
    <text>Source: supplied fictional HODASSA demo | Original Cost log!B10 | Baseline 30 September 2026 | Editable cost input; GBP excluding VAT.</text>
  </threadedComment>
  <threadedComment ref="C10" dT="2026-10-10T10:13:40.52" personId="{DBE5AAAB-E64E-4B17-9775-A01CD38411DA}" id="{4A81473A-CA47-482D-8D74-818481C97E1D}">
    <text>Source: supplied fictional HODASSA demo | Original Cost log!C10 | Baseline 30 September 2026 | Editable cost input; GBP excluding VAT.</text>
  </threadedComment>
  <threadedComment ref="D10" dT="2026-10-10T10:13:40.52" personId="{DBE5AAAB-E64E-4B17-9775-A01CD38411DA}" id="{432FC8B5-FFFF-4EE6-BAFF-E41AEACD7E32}">
    <text>Source: supplied fictional HODASSA demo | Original Cost log!D10 | Baseline 30 September 2026 | Editable cost input; GBP excluding VAT.</text>
  </threadedComment>
  <threadedComment ref="E10" dT="2026-10-10T10:13:40.52" personId="{DBE5AAAB-E64E-4B17-9775-A01CD38411DA}" id="{752461A8-CA41-4A71-A0BD-CC6B14BB860E}">
    <text>Source: supplied fictional HODASSA demo | Original Cost log!E10 | Baseline 30 September 2026 | Editable cost input; GBP excluding VAT.</text>
  </threadedComment>
  <threadedComment ref="F10" dT="2026-10-10T10:13:40.52" personId="{DBE5AAAB-E64E-4B17-9775-A01CD38411DA}" id="{B6BB773F-76FE-456A-9EE0-E8F1234CA3AE}">
    <text>Source: supplied fictional HODASSA demo | Original Cost log!F10 | Baseline 30 September 2026 | Editable cost input; GBP excluding VAT.</text>
  </threadedComment>
  <threadedComment ref="A11" dT="2026-10-10T10:13:40.52" personId="{DBE5AAAB-E64E-4B17-9775-A01CD38411DA}" id="{225429D8-9C02-474B-BE74-55C1FBECD3AD}">
    <text>Source: supplied fictional HODASSA demo | Original Cost log!A11 | Baseline 30 September 2026 | Editable cost input; GBP excluding VAT.</text>
  </threadedComment>
  <threadedComment ref="B11" dT="2026-10-10T10:13:40.52" personId="{DBE5AAAB-E64E-4B17-9775-A01CD38411DA}" id="{8A8D0C77-3358-4136-9D0D-87AA2C1F14C4}">
    <text>Source: supplied fictional HODASSA demo | Original Cost log!B11 | Baseline 30 September 2026 | Editable cost input; GBP excluding VAT.</text>
  </threadedComment>
  <threadedComment ref="C11" dT="2026-10-10T10:13:40.52" personId="{DBE5AAAB-E64E-4B17-9775-A01CD38411DA}" id="{FFD565D1-F516-40F5-BF91-CA74B791638A}">
    <text>Source: supplied fictional HODASSA demo | Original Cost log!C11 | Baseline 30 September 2026 | Editable cost input; GBP excluding VAT.</text>
  </threadedComment>
  <threadedComment ref="D11" dT="2026-10-10T10:13:40.52" personId="{DBE5AAAB-E64E-4B17-9775-A01CD38411DA}" id="{AE059946-4839-4397-8D91-EE2C8385E398}">
    <text>Source: supplied fictional HODASSA demo | Original Cost log!D11 | Baseline 30 September 2026 | Editable cost input; GBP excluding VAT.</text>
  </threadedComment>
  <threadedComment ref="E11" dT="2026-10-10T10:13:40.52" personId="{DBE5AAAB-E64E-4B17-9775-A01CD38411DA}" id="{C3A1A60C-C92B-453B-8ABF-9EC03EF23CFB}">
    <text>Source: supplied fictional HODASSA demo | Original Cost log!E11 | Baseline 30 September 2026 | Editable cost input; GBP excluding VAT.</text>
  </threadedComment>
  <threadedComment ref="F11" dT="2026-10-10T10:13:40.52" personId="{DBE5AAAB-E64E-4B17-9775-A01CD38411DA}" id="{218192D2-153E-4D29-93CD-EA36B402FB47}">
    <text>Source: supplied fictional HODASSA demo | Original Cost log!F11 | Baseline 30 September 2026 | Editable cost input; GBP excluding VAT.</text>
  </threadedComment>
  <threadedComment ref="A12" dT="2026-10-10T10:13:40.52" personId="{DBE5AAAB-E64E-4B17-9775-A01CD38411DA}" id="{8A10BCC8-2C31-43F3-A8D6-2386523BD1E6}">
    <text>Source: supplied fictional HODASSA demo | Original Cost log!A12 | Baseline 30 September 2026 | Editable cost input; GBP excluding VAT.</text>
  </threadedComment>
  <threadedComment ref="B12" dT="2026-10-10T10:13:40.52" personId="{DBE5AAAB-E64E-4B17-9775-A01CD38411DA}" id="{95C5C339-158E-499B-BFDE-1428847C8F75}">
    <text>Source: supplied fictional HODASSA demo | Original Cost log!B12 | Baseline 30 September 2026 | Editable cost input; GBP excluding VAT.</text>
  </threadedComment>
  <threadedComment ref="C12" dT="2026-10-10T10:13:40.53" personId="{DBE5AAAB-E64E-4B17-9775-A01CD38411DA}" id="{8FEBC17C-13F4-4F70-A42E-111AD3D44E10}">
    <text>Source: supplied fictional HODASSA demo | Original Cost log!C12 | Baseline 30 September 2026 | Editable cost input; GBP excluding VAT.</text>
  </threadedComment>
  <threadedComment ref="D12" dT="2026-10-10T10:13:40.53" personId="{DBE5AAAB-E64E-4B17-9775-A01CD38411DA}" id="{C1104B9C-F41F-4FBD-9769-D9CADC356BBB}">
    <text>Source: supplied fictional HODASSA demo | Original Cost log!D12 | Baseline 30 September 2026 | Editable cost input; GBP excluding VAT.</text>
  </threadedComment>
  <threadedComment ref="E12" dT="2026-10-10T10:13:40.53" personId="{DBE5AAAB-E64E-4B17-9775-A01CD38411DA}" id="{A0E191E8-AA90-40D7-A0FD-79A71C627DC9}">
    <text>Source: supplied fictional HODASSA demo | Original Cost log!E12 | Baseline 30 September 2026 | Editable cost input; GBP excluding VAT.</text>
  </threadedComment>
  <threadedComment ref="F12" dT="2026-10-10T10:13:40.53" personId="{DBE5AAAB-E64E-4B17-9775-A01CD38411DA}" id="{C071C4CF-717A-429E-94A4-6A8D2FD36358}">
    <text>Source: supplied fictional HODASSA demo | Original Cost log!F12 | Baseline 30 September 2026 | Editable cost input; GBP excluding VAT.</text>
  </threadedComment>
  <threadedComment ref="A13" dT="2026-10-10T10:13:40.53" personId="{DBE5AAAB-E64E-4B17-9775-A01CD38411DA}" id="{115C6088-D4B0-4752-87A2-5582902548D2}">
    <text>Source: supplied fictional HODASSA demo | Original Cost log!A13 | Baseline 30 September 2026 | Editable cost input; GBP excluding VAT.</text>
  </threadedComment>
  <threadedComment ref="B13" dT="2026-10-10T10:13:40.53" personId="{DBE5AAAB-E64E-4B17-9775-A01CD38411DA}" id="{A89A8883-A111-40EE-96B2-A1B36ADF1AE6}">
    <text>Source: supplied fictional HODASSA demo | Original Cost log!B13 | Baseline 30 September 2026 | Editable cost input; GBP excluding VAT.</text>
  </threadedComment>
  <threadedComment ref="C13" dT="2026-10-10T10:13:40.53" personId="{DBE5AAAB-E64E-4B17-9775-A01CD38411DA}" id="{C7F6F485-E2AB-48D6-AAF9-0478705AFDF8}">
    <text>Source: supplied fictional HODASSA demo | Original Cost log!C13 | Baseline 30 September 2026 | Editable cost input; GBP excluding VAT.</text>
  </threadedComment>
  <threadedComment ref="D13" dT="2026-10-10T10:13:40.53" personId="{DBE5AAAB-E64E-4B17-9775-A01CD38411DA}" id="{D757344A-E0A0-4F1E-9376-C0438B3E7B34}">
    <text>Source: supplied fictional HODASSA demo | Original Cost log!D13 | Baseline 30 September 2026 | Editable cost input; GBP excluding VAT.</text>
  </threadedComment>
  <threadedComment ref="E13" dT="2026-10-10T10:13:40.53" personId="{DBE5AAAB-E64E-4B17-9775-A01CD38411DA}" id="{DD3F596C-C93B-40A8-BB3E-6F07CAC0B29B}">
    <text>Source: supplied fictional HODASSA demo | Original Cost log!E13 | Baseline 30 September 2026 | Editable cost input; GBP excluding VAT.</text>
  </threadedComment>
  <threadedComment ref="F13" dT="2026-10-10T10:13:40.53" personId="{DBE5AAAB-E64E-4B17-9775-A01CD38411DA}" id="{6FA93824-D399-421C-9FA8-05F7F8C92C8D}">
    <text>Source: supplied fictional HODASSA demo | Original Cost log!F13 | Baseline 30 September 2026 | Editable cost input; GBP excluding VAT.</text>
  </threadedComment>
  <threadedComment ref="A14" dT="2026-10-10T10:13:40.53" personId="{DBE5AAAB-E64E-4B17-9775-A01CD38411DA}" id="{718EF36B-3409-493E-8D69-BA53CFDBE7A1}">
    <text>Source: supplied fictional HODASSA demo | Original Cost log!A14 | Baseline 30 September 2026 | Editable cost input; GBP excluding VAT.</text>
  </threadedComment>
  <threadedComment ref="B14" dT="2026-10-10T10:13:40.53" personId="{DBE5AAAB-E64E-4B17-9775-A01CD38411DA}" id="{67988CEA-DFEE-48AB-A413-90F2C48FD4ED}">
    <text>Source: supplied fictional HODASSA demo | Original Cost log!B14 | Baseline 30 September 2026 | Editable cost input; GBP excluding VAT.</text>
  </threadedComment>
  <threadedComment ref="C14" dT="2026-10-10T10:13:40.53" personId="{DBE5AAAB-E64E-4B17-9775-A01CD38411DA}" id="{01004A3F-DB70-475B-BC97-90F7C59A6B2A}">
    <text>Source: supplied fictional HODASSA demo | Original Cost log!C14 | Baseline 30 September 2026 | Editable cost input; GBP excluding VAT.</text>
  </threadedComment>
  <threadedComment ref="D14" dT="2026-10-10T10:13:40.53" personId="{DBE5AAAB-E64E-4B17-9775-A01CD38411DA}" id="{83CEB011-AAF2-463A-AE37-579DC23436C3}">
    <text>Source: supplied fictional HODASSA demo | Original Cost log!D14 | Baseline 30 September 2026 | Editable cost input; GBP excluding VAT.</text>
  </threadedComment>
  <threadedComment ref="E14" dT="2026-10-10T10:13:40.55" personId="{DBE5AAAB-E64E-4B17-9775-A01CD38411DA}" id="{7A4A7186-9E3A-4FBC-A339-80B7CB4C2620}">
    <text>Source: supplied fictional HODASSA demo | Original Cost log!E14 | Baseline 30 September 2026 | Editable cost input; GBP excluding VAT.</text>
  </threadedComment>
  <threadedComment ref="F14" dT="2026-10-10T10:13:40.55" personId="{DBE5AAAB-E64E-4B17-9775-A01CD38411DA}" id="{ACC00AC7-3AED-444A-B231-6B4F1D763A85}">
    <text>Source: supplied fictional HODASSA demo | Original Cost log!F14 | Baseline 30 September 2026 | Editable cost input; GBP excluding VAT.</text>
  </threadedComment>
  <threadedComment ref="A15" dT="2026-10-10T10:13:40.55" personId="{DBE5AAAB-E64E-4B17-9775-A01CD38411DA}" id="{F9905FBE-1C15-402F-A00C-562F252F988F}">
    <text>Source: supplied fictional HODASSA demo | Original Cost log!A15 | Baseline 30 September 2026 | Editable cost input; GBP excluding VAT.</text>
  </threadedComment>
  <threadedComment ref="B15" dT="2026-10-10T10:13:40.55" personId="{DBE5AAAB-E64E-4B17-9775-A01CD38411DA}" id="{83CBBFAE-7FCA-4041-B856-DEE1C0391433}">
    <text>Source: supplied fictional HODASSA demo | Original Cost log!B15 | Baseline 30 September 2026 | Editable cost input; GBP excluding VAT.</text>
  </threadedComment>
  <threadedComment ref="C15" dT="2026-10-10T10:13:40.55" personId="{DBE5AAAB-E64E-4B17-9775-A01CD38411DA}" id="{AAF25346-E659-4B5C-8F17-36297DB9C652}">
    <text>Source: supplied fictional HODASSA demo | Original Cost log!C15 | Baseline 30 September 2026 | Editable cost input; GBP excluding VAT.</text>
  </threadedComment>
  <threadedComment ref="D15" dT="2026-10-10T10:13:40.56" personId="{DBE5AAAB-E64E-4B17-9775-A01CD38411DA}" id="{8F38F2AE-1360-447A-A29E-E00DE80C6370}">
    <text>Source: supplied fictional HODASSA demo | Original Cost log!D15 | Baseline 30 September 2026 | Editable cost input; GBP excluding VAT.</text>
  </threadedComment>
  <threadedComment ref="E15" dT="2026-10-10T10:13:40.56" personId="{DBE5AAAB-E64E-4B17-9775-A01CD38411DA}" id="{33953C5F-40CA-469F-A051-20B9CFAF4414}">
    <text>Source: supplied fictional HODASSA demo | Original Cost log!E15 | Baseline 30 September 2026 | Editable cost input; GBP excluding VAT.</text>
  </threadedComment>
  <threadedComment ref="F15" dT="2026-10-10T10:13:40.56" personId="{DBE5AAAB-E64E-4B17-9775-A01CD38411DA}" id="{A049E0F2-8BA1-4339-AEFB-090CB8BB8A1B}">
    <text>Source: supplied fictional HODASSA demo | Original Cost log!F15 | Baseline 30 September 2026 | Editable cost input; GBP excluding VAT.</text>
  </threadedComment>
  <threadedComment ref="A16" dT="2026-10-10T10:13:40.56" personId="{DBE5AAAB-E64E-4B17-9775-A01CD38411DA}" id="{6555935D-B593-4484-9CC4-08252561A46F}">
    <text>Source: supplied fictional HODASSA demo | Original Cost log!A16 | Baseline 30 September 2026 | Editable cost input; GBP excluding VAT.</text>
  </threadedComment>
  <threadedComment ref="B16" dT="2026-10-10T10:13:40.56" personId="{DBE5AAAB-E64E-4B17-9775-A01CD38411DA}" id="{9946DE7E-5319-4119-9347-ACD79CD06038}">
    <text>Source: supplied fictional HODASSA demo | Original Cost log!B16 | Baseline 30 September 2026 | Editable cost input; GBP excluding VAT.</text>
  </threadedComment>
  <threadedComment ref="C16" dT="2026-10-10T10:13:40.56" personId="{DBE5AAAB-E64E-4B17-9775-A01CD38411DA}" id="{BD28A8F1-B2A5-4D44-A0E1-23E80593C24B}">
    <text>Source: supplied fictional HODASSA demo | Original Cost log!C16 | Baseline 30 September 2026 | Editable cost input; GBP excluding VAT.</text>
  </threadedComment>
  <threadedComment ref="D16" dT="2026-10-10T10:13:40.56" personId="{DBE5AAAB-E64E-4B17-9775-A01CD38411DA}" id="{C5E43AFC-FCD1-4117-B453-C100F9F9D38E}">
    <text>Source: supplied fictional HODASSA demo | Original Cost log!D16 | Baseline 30 September 2026 | Editable cost input; GBP excluding VAT.</text>
  </threadedComment>
  <threadedComment ref="E16" dT="2026-10-10T10:13:40.56" personId="{DBE5AAAB-E64E-4B17-9775-A01CD38411DA}" id="{AB171154-1D06-4AD8-8EB3-E0767272BDDB}">
    <text>Source: supplied fictional HODASSA demo | Original Cost log!E16 | Baseline 30 September 2026 | Editable cost input; GBP excluding VAT.</text>
  </threadedComment>
  <threadedComment ref="F16" dT="2026-10-10T10:13:40.56" personId="{DBE5AAAB-E64E-4B17-9775-A01CD38411DA}" id="{63115271-3A4B-4AED-B06E-6436FB46A8FB}">
    <text>Source: supplied fictional HODASSA demo | Original Cost log!F16 | Baseline 30 September 2026 | Editable cost input; GBP excluding VAT.</text>
  </threadedComment>
  <threadedComment ref="A17" dT="2026-10-10T10:13:40.56" personId="{DBE5AAAB-E64E-4B17-9775-A01CD38411DA}" id="{3FDC5729-8CA2-4149-B4AC-5F764C521E38}">
    <text>Source: supplied fictional HODASSA demo | Original Cost log!A17 | Baseline 30 September 2026 | Editable cost input; GBP excluding VAT.</text>
  </threadedComment>
  <threadedComment ref="B17" dT="2026-10-10T10:13:40.56" personId="{DBE5AAAB-E64E-4B17-9775-A01CD38411DA}" id="{B553C006-DBEC-473E-8ECC-D6DF8AEB84AE}">
    <text>Source: supplied fictional HODASSA demo | Original Cost log!B17 | Baseline 30 September 2026 | Editable cost input; GBP excluding VAT.</text>
  </threadedComment>
  <threadedComment ref="C17" dT="2026-10-10T10:13:40.56" personId="{DBE5AAAB-E64E-4B17-9775-A01CD38411DA}" id="{8CF64672-1A41-4556-AF44-5E61A45EEAEC}">
    <text>Source: supplied fictional HODASSA demo | Original Cost log!C17 | Baseline 30 September 2026 | Editable cost input; GBP excluding VAT.</text>
  </threadedComment>
  <threadedComment ref="D17" dT="2026-10-10T10:13:40.56" personId="{DBE5AAAB-E64E-4B17-9775-A01CD38411DA}" id="{D3CE5A06-6B2F-4F3F-AB35-469C0F331CC2}">
    <text>Source: supplied fictional HODASSA demo | Original Cost log!D17 | Baseline 30 September 2026 | Editable cost input; GBP excluding VAT.</text>
  </threadedComment>
  <threadedComment ref="E17" dT="2026-10-10T10:13:40.56" personId="{DBE5AAAB-E64E-4B17-9775-A01CD38411DA}" id="{B739FFA4-8AE2-46B8-85B7-91603DFF79A9}">
    <text>Source: supplied fictional HODASSA demo | Original Cost log!E17 | Baseline 30 September 2026 | Editable cost input; GBP excluding VAT.</text>
  </threadedComment>
  <threadedComment ref="F17" dT="2026-10-10T10:13:40.56" personId="{DBE5AAAB-E64E-4B17-9775-A01CD38411DA}" id="{C6F8F39E-CE68-4707-8C48-B08A20D36BA9}">
    <text>Source: supplied fictional HODASSA demo | Original Cost log!F17 | Baseline 30 September 2026 | Editable cost input; GBP excluding VAT.</text>
  </threadedComment>
  <threadedComment ref="A18" dT="2026-10-10T10:13:40.57" personId="{DBE5AAAB-E64E-4B17-9775-A01CD38411DA}" id="{1916E814-120A-4982-A561-4BA37CFBAACD}">
    <text>Source: supplied fictional HODASSA demo | Original Cost log!A18 | Baseline 30 September 2026 | Editable cost input; GBP excluding VAT.</text>
  </threadedComment>
  <threadedComment ref="B18" dT="2026-10-10T10:13:40.57" personId="{DBE5AAAB-E64E-4B17-9775-A01CD38411DA}" id="{73161B18-653D-4E84-B6F0-275F89F7FE0B}">
    <text>Source: supplied fictional HODASSA demo | Original Cost log!B18 | Baseline 30 September 2026 | Editable cost input; GBP excluding VAT.</text>
  </threadedComment>
  <threadedComment ref="C18" dT="2026-10-10T10:13:40.57" personId="{DBE5AAAB-E64E-4B17-9775-A01CD38411DA}" id="{CE34FC5C-39BE-4BC6-B75F-D11B87D4DF2C}">
    <text>Source: supplied fictional HODASSA demo | Original Cost log!C18 | Baseline 30 September 2026 | Editable cost input; GBP excluding VAT.</text>
  </threadedComment>
  <threadedComment ref="D18" dT="2026-10-10T10:13:40.57" personId="{DBE5AAAB-E64E-4B17-9775-A01CD38411DA}" id="{EAEDD9AA-4F3F-4469-AD24-ED29EF5A5B25}">
    <text>Source: supplied fictional HODASSA demo | Original Cost log!D18 | Baseline 30 September 2026 | Editable cost input; GBP excluding VAT.</text>
  </threadedComment>
  <threadedComment ref="E18" dT="2026-10-10T10:13:40.57" personId="{DBE5AAAB-E64E-4B17-9775-A01CD38411DA}" id="{CCFA029E-39C0-4A6E-B9F2-9A801F23C1B8}">
    <text>Source: supplied fictional HODASSA demo | Original Cost log!E18 | Baseline 30 September 2026 | Editable cost input; GBP excluding VAT.</text>
  </threadedComment>
  <threadedComment ref="F18" dT="2026-10-10T10:13:40.57" personId="{DBE5AAAB-E64E-4B17-9775-A01CD38411DA}" id="{B1F5770C-E6B4-41A9-B639-E976A2C0141D}">
    <text>Source: supplied fictional HODASSA demo | Original Cost log!F18 | Baseline 30 September 2026 | Editable cost input; GBP excluding VAT.</text>
  </threadedComment>
  <threadedComment ref="A19" dT="2026-10-10T10:13:40.57" personId="{DBE5AAAB-E64E-4B17-9775-A01CD38411DA}" id="{2A5F511C-C249-4CDC-B8E6-5672580F7E71}">
    <text>Source: supplied fictional HODASSA demo | Original Cost log!A19 | Baseline 30 September 2026 | Editable cost input; GBP excluding VAT.</text>
  </threadedComment>
  <threadedComment ref="B19" dT="2026-10-10T10:13:40.57" personId="{DBE5AAAB-E64E-4B17-9775-A01CD38411DA}" id="{CEB23875-4F7B-44D3-8EAA-EF0F2425AC08}">
    <text>Source: supplied fictional HODASSA demo | Original Cost log!B19 | Baseline 30 September 2026 | Editable cost input; GBP excluding VAT.</text>
  </threadedComment>
  <threadedComment ref="C19" dT="2026-10-10T10:13:40.57" personId="{DBE5AAAB-E64E-4B17-9775-A01CD38411DA}" id="{7C41A110-A91D-4EC7-912D-6AE5C907ECF9}">
    <text>Source: supplied fictional HODASSA demo | Original Cost log!C19 | Baseline 30 September 2026 | Editable cost input; GBP excluding VAT.</text>
  </threadedComment>
  <threadedComment ref="D19" dT="2026-10-10T10:13:40.57" personId="{DBE5AAAB-E64E-4B17-9775-A01CD38411DA}" id="{77985BC6-024B-4E86-AC4F-0B8053D4DA49}">
    <text>Source: supplied fictional HODASSA demo | Original Cost log!D19 | Baseline 30 September 2026 | Editable cost input; GBP excluding VAT.</text>
  </threadedComment>
  <threadedComment ref="E19" dT="2026-10-10T10:13:40.57" personId="{DBE5AAAB-E64E-4B17-9775-A01CD38411DA}" id="{609A0AF9-0BE7-4F50-A8DD-5DBB0033A1BE}">
    <text>Source: supplied fictional HODASSA demo | Original Cost log!E19 | Baseline 30 September 2026 | Editable cost input; GBP excluding VAT.</text>
  </threadedComment>
  <threadedComment ref="F19" dT="2026-10-10T10:13:40.57" personId="{DBE5AAAB-E64E-4B17-9775-A01CD38411DA}" id="{A3CE710A-8E2A-4C76-BFD7-DAB02F5D830A}">
    <text>Source: supplied fictional HODASSA demo | Original Cost log!F19 | Baseline 30 September 2026 | Editable cost input; GBP excluding VAT.</text>
  </threadedComment>
  <threadedComment ref="A20" dT="2026-10-10T10:13:40.57" personId="{DBE5AAAB-E64E-4B17-9775-A01CD38411DA}" id="{A960B3AF-F900-46DC-BE88-6925F3CA2235}">
    <text>Source: supplied fictional HODASSA demo | Original Cost log!A20 | Baseline 30 September 2026 | Editable cost input; GBP excluding VAT.</text>
  </threadedComment>
  <threadedComment ref="B20" dT="2026-10-10T10:13:40.57" personId="{DBE5AAAB-E64E-4B17-9775-A01CD38411DA}" id="{1B1173E8-96B6-4CF7-BCEF-1B04A02DA3D9}">
    <text>Source: supplied fictional HODASSA demo | Original Cost log!B20 | Baseline 30 September 2026 | Editable cost input; GBP excluding VAT.</text>
  </threadedComment>
  <threadedComment ref="C20" dT="2026-10-10T10:13:40.59" personId="{DBE5AAAB-E64E-4B17-9775-A01CD38411DA}" id="{69677E50-6EE7-475A-AD7D-433DED3F6265}">
    <text>Source: supplied fictional HODASSA demo | Original Cost log!C20 | Baseline 30 September 2026 | Editable cost input; GBP excluding VAT.</text>
  </threadedComment>
  <threadedComment ref="D20" dT="2026-10-10T10:13:40.59" personId="{DBE5AAAB-E64E-4B17-9775-A01CD38411DA}" id="{A7F7D941-C82B-4B86-A96F-F731C315B7EF}">
    <text>Source: supplied fictional HODASSA demo | Original Cost log!D20 | Baseline 30 September 2026 | Editable cost input; GBP excluding VAT.</text>
  </threadedComment>
  <threadedComment ref="E20" dT="2026-10-10T10:13:40.59" personId="{DBE5AAAB-E64E-4B17-9775-A01CD38411DA}" id="{3D8A7FB6-EC1D-4B95-9890-52DF831F8667}">
    <text>Source: supplied fictional HODASSA demo | Original Cost log!E20 | Baseline 30 September 2026 | Editable cost input; GBP excluding VAT.</text>
  </threadedComment>
  <threadedComment ref="F20" dT="2026-10-10T10:13:40.59" personId="{DBE5AAAB-E64E-4B17-9775-A01CD38411DA}" id="{5D810D55-2699-4ECF-B3B7-A21A8E840FE9}">
    <text>Source: supplied fictional HODASSA demo | Original Cost log!F20 | Baseline 30 September 2026 | Editable cost input; GBP excluding VAT.</text>
  </threadedComment>
  <threadedComment ref="A21" dT="2026-10-10T10:13:40.59" personId="{DBE5AAAB-E64E-4B17-9775-A01CD38411DA}" id="{696766BB-539F-41FA-B46B-2E5FD52F6883}">
    <text>Source: supplied fictional HODASSA demo | Original Cost log!A21 | Baseline 30 September 2026 | Editable cost input; GBP excluding VAT.</text>
  </threadedComment>
  <threadedComment ref="B21" dT="2026-10-10T10:13:40.59" personId="{DBE5AAAB-E64E-4B17-9775-A01CD38411DA}" id="{084AD31E-94C3-43A2-A1EB-59D8EA3B2CF0}">
    <text>Source: supplied fictional HODASSA demo | Original Cost log!B21 | Baseline 30 September 2026 | Editable cost input; GBP excluding VAT.</text>
  </threadedComment>
  <threadedComment ref="C21" dT="2026-10-10T10:13:40.59" personId="{DBE5AAAB-E64E-4B17-9775-A01CD38411DA}" id="{4FCAD334-E386-4EFF-953C-EDD96DDEBFAB}">
    <text>Source: supplied fictional HODASSA demo | Original Cost log!C21 | Baseline 30 September 2026 | Editable cost input; GBP excluding VAT.</text>
  </threadedComment>
  <threadedComment ref="D21" dT="2026-10-10T10:13:40.59" personId="{DBE5AAAB-E64E-4B17-9775-A01CD38411DA}" id="{F2E2E980-2628-4D13-B2EA-E9860338A2DF}">
    <text>Source: supplied fictional HODASSA demo | Original Cost log!D21 | Baseline 30 September 2026 | Editable cost input; GBP excluding VAT.</text>
  </threadedComment>
  <threadedComment ref="E21" dT="2026-10-10T10:13:40.59" personId="{DBE5AAAB-E64E-4B17-9775-A01CD38411DA}" id="{8D3FD132-1978-487D-B6A5-663402A6E5C6}">
    <text>Source: supplied fictional HODASSA demo | Original Cost log!E21 | Baseline 30 September 2026 | Editable cost input; GBP excluding VAT.</text>
  </threadedComment>
  <threadedComment ref="F21" dT="2026-10-10T10:13:40.59" personId="{DBE5AAAB-E64E-4B17-9775-A01CD38411DA}" id="{DE372CE4-6101-4141-B12D-72C637B199E8}">
    <text>Source: supplied fictional HODASSA demo | Original Cost log!F21 | Baseline 30 September 2026 | Editable cost input; GBP excluding VAT.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EB777ED-5959-4503-A83F-442DA0ECA6C4}">
  <we:reference id="wa200010215" version="2.0.0.1" store="en-US" storeType="OMEX"/>
  <we:alternateReferences>
    <we:reference id="wa200010215" version="2.0.0.1" store="wa200010215" storeType="OMEX"/>
  </we:alternateReferences>
  <we:properties>
    <we:property name="bps.codex_control.document_id" value="&quot;823e2ff2-f288-4aaf-9a1b-f388b6061ed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2.vml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3.vml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D5ED-5F2E-458C-95D0-95C3957521FB}">
  <sheetPr>
    <tabColor rgb="FF007F82"/>
  </sheetPr>
  <dimension ref="A1:O200"/>
  <sheetViews>
    <sheetView showGridLines="0" tabSelected="1" topLeftCell="B1" zoomScale="55" zoomScaleNormal="55" workbookViewId="0">
      <selection activeCell="H17" sqref="H17"/>
    </sheetView>
  </sheetViews>
  <sheetFormatPr defaultRowHeight="13.8"/>
  <cols>
    <col min="1" max="1" width="2.69921875" customWidth="1"/>
    <col min="2" max="2" width="34.5" style="16" customWidth="1"/>
    <col min="3" max="6" width="17.19921875" style="17" customWidth="1"/>
    <col min="7" max="7" width="14" style="17" customWidth="1"/>
    <col min="8" max="8" width="36.296875" style="18" customWidth="1"/>
    <col min="9" max="10" width="18.69921875" style="16" customWidth="1"/>
    <col min="11" max="11" width="38.296875" style="19" customWidth="1"/>
    <col min="12" max="15" width="13" customWidth="1"/>
  </cols>
  <sheetData>
    <row r="1" spans="1:15" ht="22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4.950000000000003" customHeight="1">
      <c r="A2" s="1"/>
      <c r="B2" s="56" t="s">
        <v>51</v>
      </c>
      <c r="C2" s="56"/>
      <c r="D2" s="56"/>
      <c r="E2" s="56"/>
      <c r="F2" s="56"/>
      <c r="G2" s="56"/>
      <c r="H2" s="56"/>
      <c r="I2" s="7"/>
      <c r="J2" s="7"/>
      <c r="K2" s="7"/>
    </row>
    <row r="3" spans="1:15" ht="22.95" customHeight="1">
      <c r="A3" s="1"/>
      <c r="B3" s="57" t="s">
        <v>177</v>
      </c>
      <c r="C3" s="57"/>
      <c r="D3" s="57"/>
      <c r="E3" s="57"/>
      <c r="F3" s="57"/>
      <c r="G3" s="57"/>
      <c r="H3" s="57"/>
      <c r="I3" s="8"/>
      <c r="J3" s="8"/>
      <c r="K3" s="8"/>
    </row>
    <row r="4" spans="1:15" ht="22.95" customHeight="1">
      <c r="A4" s="1"/>
      <c r="B4" s="58" t="s">
        <v>52</v>
      </c>
      <c r="C4" s="58"/>
      <c r="D4" s="10">
        <v>46295</v>
      </c>
      <c r="E4" s="59" t="s">
        <v>263</v>
      </c>
      <c r="F4" s="59" t="s">
        <v>261</v>
      </c>
      <c r="G4" s="59" t="s">
        <v>262</v>
      </c>
      <c r="H4" s="59" t="s">
        <v>260</v>
      </c>
      <c r="I4"/>
      <c r="J4"/>
      <c r="K4"/>
    </row>
    <row r="5" spans="1:15" ht="31.95" customHeight="1">
      <c r="A5" s="1"/>
      <c r="B5" s="60" t="str" cm="1">
        <f t="array" ref="B5">IF(NOT(hdDateValid),"STOP — enter a valid reporting date",IF(C11&gt;0,"STOP — "&amp;C11&amp;" cost record(s) have unresolved project IDs. All forecasts withheld.",IF(B11+E11&gt;0,"REVIEW REQUIRED — invalid or incomplete inputs. Portfolio forecast withheld.",IF('HODASSA Checks'!B4&lt;&gt;"PASS","STOP — model checks require review.","DATA CHECKS PASS — review loss and budget warnings below"))))</f>
        <v>DATA CHECKS PASS — review loss and budget warnings below</v>
      </c>
      <c r="C5" s="60"/>
      <c r="D5" s="60"/>
      <c r="E5" s="60"/>
      <c r="F5" s="60"/>
      <c r="G5" s="60"/>
      <c r="H5" s="60"/>
      <c r="I5" s="52"/>
      <c r="J5" s="52"/>
      <c r="K5" s="52"/>
    </row>
    <row r="6" spans="1:15" ht="22.95" customHeight="1">
      <c r="A6" s="1"/>
      <c r="B6" s="61"/>
      <c r="C6" s="61"/>
      <c r="D6" s="61"/>
      <c r="E6" s="61"/>
      <c r="F6" s="61"/>
      <c r="G6" s="61"/>
      <c r="H6" s="61"/>
      <c r="I6"/>
      <c r="J6"/>
      <c r="K6"/>
    </row>
    <row r="7" spans="1:15" ht="30" customHeight="1">
      <c r="A7" s="1"/>
      <c r="B7" s="62" t="s">
        <v>0</v>
      </c>
      <c r="C7" s="62" t="s">
        <v>72</v>
      </c>
      <c r="D7" s="62" t="s">
        <v>73</v>
      </c>
      <c r="E7" s="62" t="s">
        <v>74</v>
      </c>
      <c r="F7" s="62" t="s">
        <v>75</v>
      </c>
      <c r="G7" s="62" t="s">
        <v>1</v>
      </c>
      <c r="H7" s="61"/>
      <c r="I7"/>
      <c r="J7"/>
      <c r="K7"/>
    </row>
    <row r="8" spans="1:15" ht="34.049999999999997" customHeight="1">
      <c r="A8" s="1"/>
      <c r="B8" s="63">
        <f>'HODASSA Calculations'!M7</f>
        <v>903000</v>
      </c>
      <c r="C8" s="63">
        <f>'HODASSA Calculations'!N7</f>
        <v>721460</v>
      </c>
      <c r="D8" s="63">
        <f>'HODASSA Calculations'!O7</f>
        <v>392500</v>
      </c>
      <c r="E8" s="63">
        <f>'HODASSA Calculations'!P7</f>
        <v>777600</v>
      </c>
      <c r="F8" s="63">
        <f>'HODASSA Calculations'!Q7</f>
        <v>125400</v>
      </c>
      <c r="G8" s="64">
        <f>'HODASSA Calculations'!R7</f>
        <v>0.1388704318936877</v>
      </c>
      <c r="H8" s="61"/>
      <c r="I8"/>
      <c r="J8"/>
      <c r="K8"/>
    </row>
    <row r="9" spans="1:15" ht="10.050000000000001" customHeight="1">
      <c r="A9" s="1"/>
      <c r="B9" s="61"/>
      <c r="C9" s="61"/>
      <c r="D9" s="61"/>
      <c r="E9" s="61"/>
      <c r="F9" s="61"/>
      <c r="G9" s="61"/>
      <c r="H9" s="61"/>
      <c r="I9"/>
      <c r="J9"/>
      <c r="K9"/>
    </row>
    <row r="10" spans="1:15" ht="28.05" customHeight="1">
      <c r="A10" s="1"/>
      <c r="B10" s="65" t="s">
        <v>76</v>
      </c>
      <c r="C10" s="65" t="s">
        <v>77</v>
      </c>
      <c r="D10" s="65" t="s">
        <v>78</v>
      </c>
      <c r="E10" s="65" t="s">
        <v>79</v>
      </c>
      <c r="F10" s="65" t="s">
        <v>80</v>
      </c>
      <c r="G10" s="65" t="s">
        <v>81</v>
      </c>
      <c r="H10" s="61"/>
      <c r="I10"/>
      <c r="J10"/>
      <c r="K10"/>
    </row>
    <row r="11" spans="1:15" ht="28.05" customHeight="1">
      <c r="A11" s="1"/>
      <c r="B11" s="66">
        <f>'HODASSA Calculations'!B7</f>
        <v>0</v>
      </c>
      <c r="C11" s="66">
        <f>'HODASSA Calculations'!B8</f>
        <v>0</v>
      </c>
      <c r="D11" s="66">
        <f>'HODASSA Calculations'!B9</f>
        <v>0</v>
      </c>
      <c r="E11" s="66">
        <f>'HODASSA Calculations'!B10</f>
        <v>0</v>
      </c>
      <c r="F11" s="66">
        <f>IF('HODASSA Calculations'!B13="PASS",COUNTIF(_xlfn.ANCHORARRAY('HODASSA Calculations'!AC19),"LOSS"),"REVIEW")</f>
        <v>1</v>
      </c>
      <c r="G11" s="66">
        <f>IF('HODASSA Calculations'!B13="PASS",COUNTIF(_xlfn.ANCHORARRAY('HODASSA Calculations'!AB19),"OVER BUDGET"),"REVIEW")</f>
        <v>4</v>
      </c>
      <c r="H11" s="61"/>
      <c r="I11"/>
      <c r="J11"/>
      <c r="K11"/>
    </row>
    <row r="12" spans="1:15" ht="28.05" customHeight="1">
      <c r="A12" s="1"/>
      <c r="B12" s="67" t="s">
        <v>179</v>
      </c>
      <c r="C12" s="67"/>
      <c r="D12" s="67"/>
      <c r="E12" s="67"/>
      <c r="F12" s="67"/>
      <c r="G12" s="67"/>
      <c r="H12" s="67"/>
      <c r="I12"/>
      <c r="J12"/>
      <c r="K12"/>
    </row>
    <row r="13" spans="1:15" ht="31.95" customHeight="1">
      <c r="A13" s="1"/>
      <c r="B13" s="68" t="str">
        <f>IF('HODASSA Calculations'!B13&lt;&gt;"PASS","FORECASTS WITHHELD — review project issues. Unavailable forecasts are omitted from charts, not treated as £0.",F11&amp;" loss-making project(s) | "&amp;G11&amp;" over budget | "&amp;D11&amp;" valid later-dated cost record(s) excluded")</f>
        <v>1 loss-making project(s) | 4 over budget | 0 valid later-dated cost record(s) excluded</v>
      </c>
      <c r="C13" s="68"/>
      <c r="D13" s="68"/>
      <c r="E13" s="68"/>
      <c r="F13" s="68"/>
      <c r="G13" s="68"/>
      <c r="H13" s="68"/>
      <c r="I13" s="53"/>
      <c r="J13" s="53"/>
      <c r="K13" s="53"/>
    </row>
    <row r="14" spans="1:15" ht="19.95" customHeight="1">
      <c r="A14" s="1"/>
      <c r="B14" s="69" t="s">
        <v>215</v>
      </c>
      <c r="C14" s="69"/>
      <c r="D14" s="69"/>
      <c r="E14" s="69"/>
      <c r="F14" s="69"/>
      <c r="G14" s="69"/>
      <c r="H14" s="69"/>
      <c r="I14"/>
      <c r="J14"/>
      <c r="K14"/>
    </row>
    <row r="15" spans="1:15" ht="28.95" customHeight="1">
      <c r="A15" s="1"/>
      <c r="B15" s="62" t="s">
        <v>2</v>
      </c>
      <c r="C15" s="62" t="s">
        <v>72</v>
      </c>
      <c r="D15" s="62" t="s">
        <v>73</v>
      </c>
      <c r="E15" s="62" t="s">
        <v>74</v>
      </c>
      <c r="F15" s="62" t="s">
        <v>75</v>
      </c>
      <c r="G15" s="62" t="s">
        <v>12</v>
      </c>
      <c r="H15" s="62" t="s">
        <v>178</v>
      </c>
      <c r="I15"/>
      <c r="J15"/>
      <c r="K15"/>
    </row>
    <row r="16" spans="1:15" ht="31.05" customHeight="1">
      <c r="A16" s="1"/>
      <c r="B16" s="70" t="str" cm="1">
        <f t="array" ref="B16:B20">IF(_xlfn.ANCHORARRAY('HODASSA Calculations'!N19)="","Unnamed project ["&amp;_xlfn.ANCHORARRAY('HODASSA Calculations'!M19)&amp;"]",_xlfn.ANCHORARRAY('HODASSA Calculations'!N19))</f>
        <v>Heathrow AHU Upgrade</v>
      </c>
      <c r="C16" s="71" cm="1">
        <f t="array" ref="C16:C20">_xlfn.ANCHORARRAY('HODASSA Calculations'!Q19)</f>
        <v>151700</v>
      </c>
      <c r="D16" s="71" cm="1">
        <f t="array" ref="D16:D20">_xlfn.ANCHORARRAY('HODASSA Calculations'!X19)</f>
        <v>72500</v>
      </c>
      <c r="E16" s="71" cm="1">
        <f t="array" ref="E16:E20">_xlfn.ANCHORARRAY('HODASSA Calculations'!Y19)</f>
        <v>131000</v>
      </c>
      <c r="F16" s="71" cm="1">
        <f t="array" ref="F16:F20">_xlfn.ANCHORARRAY('HODASSA Calculations'!Z19)</f>
        <v>54000</v>
      </c>
      <c r="G16" s="72" cm="1">
        <f t="array" ref="G16:G20">_xlfn.ANCHORARRAY('HODASSA Calculations'!AA19)</f>
        <v>0.29189189189189191</v>
      </c>
      <c r="H16" s="70" t="str" cm="1">
        <f t="array" ref="H16:H20">_xlfn.LET(_xlpm.data,_xlfn.ANCHORARRAY('HODASSA Calculations'!AD19),_xlpm.budget,_xlfn.ANCHORARRAY('HODASSA Calculations'!AB19),_xlpm.profit,_xlfn.ANCHORARRAY('HODASSA Calculations'!AC19),IF(_xlpm.data&lt;&gt;"OK","BLOCKED — "&amp;_xlpm.data,IF(_xlpm.profit="LOSS","LOSS | ","")&amp;IF(_xlpm.budget="OVER BUDGET","OVER BUDGET",IF(_xlpm.profit="BREAK-EVEN","BREAK-EVEN","No issues"))))</f>
        <v>No issues</v>
      </c>
      <c r="I16"/>
      <c r="J16"/>
      <c r="K16"/>
    </row>
    <row r="17" spans="1:11" ht="31.05" customHeight="1">
      <c r="A17" s="1"/>
      <c r="B17" s="73" t="str">
        <v>Bristol HVAC Retrofit</v>
      </c>
      <c r="C17" s="74">
        <v>71760</v>
      </c>
      <c r="D17" s="74">
        <v>56300</v>
      </c>
      <c r="E17" s="74">
        <v>83900</v>
      </c>
      <c r="F17" s="74">
        <v>8100</v>
      </c>
      <c r="G17" s="75">
        <v>8.804347826086957E-2</v>
      </c>
      <c r="H17" s="73" t="str">
        <v>OVER BUDGET</v>
      </c>
      <c r="I17"/>
      <c r="J17"/>
      <c r="K17"/>
    </row>
    <row r="18" spans="1:11" ht="31.05" customHeight="1">
      <c r="A18" s="1"/>
      <c r="B18" s="73" t="str">
        <v>Surrey Process Cooling</v>
      </c>
      <c r="C18" s="74">
        <v>201600</v>
      </c>
      <c r="D18" s="74">
        <v>88100</v>
      </c>
      <c r="E18" s="74">
        <v>213100</v>
      </c>
      <c r="F18" s="74">
        <v>26900</v>
      </c>
      <c r="G18" s="75">
        <v>0.11208333333333333</v>
      </c>
      <c r="H18" s="73" t="str">
        <v>OVER BUDGET</v>
      </c>
      <c r="I18"/>
      <c r="J18"/>
      <c r="K18"/>
    </row>
    <row r="19" spans="1:11" ht="31.05" customHeight="1">
      <c r="A19" s="1"/>
      <c r="B19" s="73" t="str">
        <v>Reading Boiler Replacement</v>
      </c>
      <c r="C19" s="74">
        <v>60800</v>
      </c>
      <c r="D19" s="74">
        <v>71900</v>
      </c>
      <c r="E19" s="74">
        <v>82900</v>
      </c>
      <c r="F19" s="74">
        <v>-6900</v>
      </c>
      <c r="G19" s="75">
        <v>-9.0789473684210531E-2</v>
      </c>
      <c r="H19" s="73" t="str">
        <v>LOSS | OVER BUDGET</v>
      </c>
      <c r="I19"/>
      <c r="J19"/>
      <c r="K19"/>
    </row>
    <row r="20" spans="1:11" ht="31.05" customHeight="1">
      <c r="A20" s="1"/>
      <c r="B20" s="73" t="str">
        <v>Oxford Cleanroom Ventilation</v>
      </c>
      <c r="C20" s="74">
        <v>235600</v>
      </c>
      <c r="D20" s="74">
        <v>103700</v>
      </c>
      <c r="E20" s="74">
        <v>266700</v>
      </c>
      <c r="F20" s="74">
        <v>43300</v>
      </c>
      <c r="G20" s="75">
        <v>0.13967741935483871</v>
      </c>
      <c r="H20" s="73" t="str">
        <v>OVER BUDGET</v>
      </c>
      <c r="I20"/>
      <c r="J20"/>
      <c r="K20"/>
    </row>
    <row r="21" spans="1:11" ht="31.05" customHeight="1">
      <c r="A21" s="1"/>
      <c r="B21" s="73"/>
      <c r="C21" s="74"/>
      <c r="D21" s="74"/>
      <c r="E21" s="74"/>
      <c r="F21" s="74"/>
      <c r="G21" s="75"/>
      <c r="H21" s="73"/>
      <c r="I21"/>
      <c r="J21"/>
      <c r="K21"/>
    </row>
    <row r="22" spans="1:11" ht="31.05" customHeight="1">
      <c r="A22" s="1"/>
      <c r="B22" s="73"/>
      <c r="C22" s="74"/>
      <c r="D22" s="74"/>
      <c r="E22" s="74"/>
      <c r="F22" s="74"/>
      <c r="G22" s="75"/>
      <c r="H22" s="73"/>
      <c r="I22"/>
      <c r="J22"/>
      <c r="K22"/>
    </row>
    <row r="23" spans="1:11" ht="31.05" customHeight="1">
      <c r="A23" s="1"/>
      <c r="B23" s="73"/>
      <c r="C23" s="74"/>
      <c r="D23" s="74"/>
      <c r="E23" s="74"/>
      <c r="F23" s="74"/>
      <c r="G23" s="75"/>
      <c r="H23" s="73"/>
      <c r="I23"/>
      <c r="J23"/>
      <c r="K23"/>
    </row>
    <row r="24" spans="1:11" ht="31.05" customHeight="1">
      <c r="A24" s="1"/>
      <c r="B24" s="73"/>
      <c r="C24" s="74"/>
      <c r="D24" s="74"/>
      <c r="E24" s="74"/>
      <c r="F24" s="74"/>
      <c r="G24" s="75"/>
      <c r="H24" s="73"/>
      <c r="I24"/>
      <c r="J24"/>
      <c r="K24"/>
    </row>
    <row r="25" spans="1:11" ht="31.05" customHeight="1">
      <c r="A25" s="1"/>
      <c r="B25" s="73"/>
      <c r="C25" s="74"/>
      <c r="D25" s="74"/>
      <c r="E25" s="74"/>
      <c r="F25" s="74"/>
      <c r="G25" s="75"/>
      <c r="H25" s="73"/>
      <c r="I25"/>
      <c r="J25"/>
      <c r="K25"/>
    </row>
    <row r="26" spans="1:11" ht="31.05" customHeight="1">
      <c r="A26" s="1"/>
      <c r="B26" s="73"/>
      <c r="C26" s="74"/>
      <c r="D26" s="74"/>
      <c r="E26" s="74"/>
      <c r="F26" s="74"/>
      <c r="G26" s="75"/>
      <c r="H26" s="73"/>
      <c r="I26"/>
      <c r="J26"/>
      <c r="K26"/>
    </row>
    <row r="27" spans="1:11" ht="31.05" customHeight="1">
      <c r="A27" s="1"/>
      <c r="B27" s="73"/>
      <c r="C27" s="74"/>
      <c r="D27" s="74"/>
      <c r="E27" s="74"/>
      <c r="F27" s="74"/>
      <c r="G27" s="75"/>
      <c r="H27" s="73"/>
      <c r="I27"/>
      <c r="J27"/>
      <c r="K27"/>
    </row>
    <row r="28" spans="1:11" ht="31.05" customHeight="1">
      <c r="A28" s="1"/>
      <c r="B28" s="73"/>
      <c r="C28" s="74"/>
      <c r="D28" s="74"/>
      <c r="E28" s="74"/>
      <c r="F28" s="74"/>
      <c r="G28" s="75"/>
      <c r="H28" s="73"/>
      <c r="I28"/>
      <c r="J28"/>
      <c r="K28"/>
    </row>
    <row r="29" spans="1:11" ht="31.05" customHeight="1">
      <c r="A29" s="1"/>
      <c r="B29" s="73"/>
      <c r="C29" s="74"/>
      <c r="D29" s="74"/>
      <c r="E29" s="74"/>
      <c r="F29" s="74"/>
      <c r="G29" s="75"/>
      <c r="H29" s="73"/>
      <c r="I29"/>
      <c r="J29"/>
      <c r="K29"/>
    </row>
    <row r="30" spans="1:11" ht="31.05" customHeight="1">
      <c r="A30" s="1"/>
      <c r="B30" s="76"/>
      <c r="C30" s="77"/>
      <c r="D30" s="77"/>
      <c r="E30" s="77"/>
      <c r="F30" s="77"/>
      <c r="G30" s="78"/>
      <c r="H30" s="76"/>
      <c r="I30"/>
      <c r="J30"/>
      <c r="K30"/>
    </row>
    <row r="31" spans="1:11" ht="18" customHeight="1">
      <c r="A31" s="1"/>
      <c r="B31" s="79"/>
      <c r="C31" s="80"/>
      <c r="D31" s="80"/>
      <c r="E31" s="80"/>
      <c r="F31" s="80"/>
      <c r="G31" s="80"/>
      <c r="H31" s="79"/>
      <c r="I31"/>
      <c r="J31"/>
      <c r="K31"/>
    </row>
    <row r="32" spans="1:11" ht="18" customHeight="1">
      <c r="A32" s="1"/>
      <c r="B32" s="81"/>
      <c r="C32" s="82"/>
      <c r="D32" s="82"/>
      <c r="E32" s="82"/>
      <c r="F32" s="82"/>
      <c r="G32" s="83"/>
      <c r="H32" s="81"/>
      <c r="I32"/>
      <c r="J32"/>
      <c r="K32"/>
    </row>
    <row r="33" spans="1:15" ht="18" customHeight="1">
      <c r="A33" s="1"/>
      <c r="B33" s="81"/>
      <c r="C33" s="82"/>
      <c r="D33" s="82"/>
      <c r="E33" s="82"/>
      <c r="F33" s="82"/>
      <c r="G33" s="83"/>
      <c r="H33" s="81"/>
      <c r="I33"/>
      <c r="J33"/>
      <c r="K33"/>
    </row>
    <row r="34" spans="1:15" ht="7.95" customHeight="1">
      <c r="A34" s="1"/>
      <c r="B34" s="81"/>
      <c r="C34" s="82"/>
      <c r="D34" s="82"/>
      <c r="E34" s="82"/>
      <c r="F34" s="82"/>
      <c r="G34" s="83"/>
      <c r="H34" s="81"/>
      <c r="I34"/>
      <c r="J34"/>
      <c r="K34"/>
    </row>
    <row r="35" spans="1:15" ht="25.05" customHeight="1">
      <c r="A35" s="1"/>
      <c r="B35" s="81"/>
      <c r="C35" s="82"/>
      <c r="D35" s="82"/>
      <c r="E35" s="82"/>
      <c r="F35" s="82"/>
      <c r="G35" s="83"/>
      <c r="H35" s="81"/>
      <c r="I35"/>
      <c r="J35"/>
      <c r="K35"/>
    </row>
    <row r="36" spans="1:15" ht="25.05" customHeight="1">
      <c r="A36" s="1"/>
      <c r="B36" s="81"/>
      <c r="C36" s="82"/>
      <c r="D36" s="82"/>
      <c r="E36" s="82"/>
      <c r="F36" s="82"/>
      <c r="G36" s="83"/>
      <c r="H36" s="81"/>
      <c r="I36"/>
      <c r="J36"/>
      <c r="K36"/>
    </row>
    <row r="37" spans="1:15" ht="25.05" customHeight="1">
      <c r="A37" s="1"/>
      <c r="B37" s="81"/>
      <c r="C37" s="82"/>
      <c r="D37" s="82"/>
      <c r="E37" s="82"/>
      <c r="F37" s="82"/>
      <c r="G37" s="83"/>
      <c r="H37" s="81"/>
      <c r="I37"/>
      <c r="J37"/>
      <c r="K37"/>
    </row>
    <row r="38" spans="1:15" ht="25.05" customHeight="1">
      <c r="A38" s="1"/>
      <c r="B38" s="81"/>
      <c r="C38" s="82"/>
      <c r="D38" s="82"/>
      <c r="E38" s="82"/>
      <c r="F38" s="82"/>
      <c r="G38" s="83"/>
      <c r="H38" s="81"/>
      <c r="I38"/>
      <c r="J38"/>
      <c r="K38"/>
    </row>
    <row r="39" spans="1:15" ht="25.05" customHeight="1">
      <c r="A39" s="1"/>
      <c r="B39" s="81"/>
      <c r="C39" s="82"/>
      <c r="D39" s="82"/>
      <c r="E39" s="82"/>
      <c r="F39" s="82"/>
      <c r="G39" s="83"/>
      <c r="H39" s="81"/>
      <c r="I39"/>
      <c r="J39"/>
      <c r="K39"/>
    </row>
    <row r="40" spans="1:15" ht="7.95" customHeight="1">
      <c r="A40" s="1"/>
      <c r="B40" s="81"/>
      <c r="C40" s="82"/>
      <c r="D40" s="82"/>
      <c r="E40" s="82"/>
      <c r="F40" s="82"/>
      <c r="G40" s="83"/>
      <c r="H40" s="81"/>
      <c r="I40"/>
      <c r="J40"/>
      <c r="K40"/>
    </row>
    <row r="41" spans="1:15" ht="31.95" customHeight="1">
      <c r="A41" s="1"/>
      <c r="B41" s="81"/>
      <c r="C41" s="82"/>
      <c r="D41" s="82"/>
      <c r="E41" s="82"/>
      <c r="F41" s="82"/>
      <c r="G41" s="83"/>
      <c r="H41" s="81"/>
      <c r="I41"/>
      <c r="J41"/>
      <c r="K41"/>
    </row>
    <row r="42" spans="1:15" ht="30" customHeight="1">
      <c r="A42" s="1"/>
      <c r="B42" s="81"/>
      <c r="C42" s="82"/>
      <c r="D42" s="82"/>
      <c r="E42" s="82"/>
      <c r="F42" s="82"/>
      <c r="G42" s="83"/>
      <c r="H42" s="81"/>
      <c r="I42"/>
      <c r="J42"/>
      <c r="K42"/>
    </row>
    <row r="43" spans="1:15" ht="30" customHeight="1">
      <c r="A43" s="1"/>
      <c r="B43" s="81"/>
      <c r="C43" s="82"/>
      <c r="D43" s="82"/>
      <c r="E43" s="82"/>
      <c r="F43" s="82"/>
      <c r="G43" s="83"/>
      <c r="H43" s="81"/>
      <c r="I43"/>
      <c r="J43"/>
      <c r="K43"/>
    </row>
    <row r="44" spans="1:15" ht="30" customHeight="1">
      <c r="A44" s="1"/>
      <c r="B44" s="81"/>
      <c r="C44" s="82"/>
      <c r="D44" s="82"/>
      <c r="E44" s="82"/>
      <c r="F44" s="82"/>
      <c r="G44" s="83"/>
      <c r="H44" s="81"/>
      <c r="I44"/>
      <c r="J44"/>
      <c r="K44"/>
      <c r="L44" s="1"/>
      <c r="M44" s="1"/>
      <c r="N44" s="1"/>
      <c r="O44" s="1"/>
    </row>
    <row r="45" spans="1:15" ht="30" customHeight="1">
      <c r="A45" s="1"/>
      <c r="B45" s="81"/>
      <c r="C45" s="82"/>
      <c r="D45" s="82"/>
      <c r="E45" s="82"/>
      <c r="F45" s="82"/>
      <c r="G45" s="83"/>
      <c r="H45" s="81"/>
      <c r="I45"/>
      <c r="J45"/>
      <c r="K45"/>
      <c r="L45" s="1"/>
      <c r="M45" s="1"/>
      <c r="N45" s="1"/>
      <c r="O45" s="1"/>
    </row>
    <row r="46" spans="1:15" ht="30" customHeight="1">
      <c r="B46" s="81"/>
      <c r="C46" s="82"/>
      <c r="D46" s="82"/>
      <c r="E46" s="82"/>
      <c r="F46" s="82"/>
      <c r="G46" s="83"/>
      <c r="H46" s="81"/>
      <c r="I46"/>
      <c r="J46"/>
      <c r="K46"/>
    </row>
    <row r="47" spans="1:15">
      <c r="B47" s="84"/>
      <c r="C47" s="85"/>
      <c r="D47" s="85"/>
      <c r="E47" s="85"/>
      <c r="F47" s="85"/>
      <c r="G47" s="86"/>
      <c r="H47" s="87"/>
    </row>
    <row r="48" spans="1:15">
      <c r="B48" s="84"/>
      <c r="C48" s="85"/>
      <c r="D48" s="85"/>
      <c r="E48" s="85"/>
      <c r="F48" s="85"/>
      <c r="G48" s="86"/>
      <c r="H48" s="87"/>
    </row>
    <row r="49" spans="2:8">
      <c r="B49" s="84"/>
      <c r="C49" s="85"/>
      <c r="D49" s="85"/>
      <c r="E49" s="85"/>
      <c r="F49" s="85"/>
      <c r="G49" s="86"/>
      <c r="H49" s="87"/>
    </row>
    <row r="50" spans="2:8">
      <c r="B50" s="84"/>
      <c r="C50" s="85"/>
      <c r="D50" s="85"/>
      <c r="E50" s="85"/>
      <c r="F50" s="85"/>
      <c r="G50" s="86"/>
      <c r="H50" s="87"/>
    </row>
    <row r="51" spans="2:8">
      <c r="B51" s="84"/>
      <c r="C51" s="85"/>
      <c r="D51" s="85"/>
      <c r="E51" s="85"/>
      <c r="F51" s="85"/>
      <c r="G51" s="86"/>
      <c r="H51" s="87"/>
    </row>
    <row r="52" spans="2:8">
      <c r="B52" s="84"/>
      <c r="C52" s="85"/>
      <c r="D52" s="85"/>
      <c r="E52" s="85"/>
      <c r="F52" s="85"/>
      <c r="G52" s="86"/>
      <c r="H52" s="87"/>
    </row>
    <row r="53" spans="2:8">
      <c r="B53" s="84"/>
      <c r="C53" s="85"/>
      <c r="D53" s="85"/>
      <c r="E53" s="85"/>
      <c r="F53" s="85"/>
      <c r="G53" s="86"/>
      <c r="H53" s="87"/>
    </row>
    <row r="54" spans="2:8">
      <c r="B54" s="84"/>
      <c r="C54" s="85"/>
      <c r="D54" s="85"/>
      <c r="E54" s="85"/>
      <c r="F54" s="85"/>
      <c r="G54" s="86"/>
      <c r="H54" s="87"/>
    </row>
    <row r="55" spans="2:8">
      <c r="B55" s="84"/>
      <c r="C55" s="85"/>
      <c r="D55" s="85"/>
      <c r="E55" s="85"/>
      <c r="F55" s="85"/>
      <c r="G55" s="86"/>
      <c r="H55" s="87"/>
    </row>
    <row r="56" spans="2:8">
      <c r="B56" s="84"/>
      <c r="C56" s="85"/>
      <c r="D56" s="85"/>
      <c r="E56" s="85"/>
      <c r="F56" s="85"/>
      <c r="G56" s="86"/>
      <c r="H56" s="87"/>
    </row>
    <row r="57" spans="2:8">
      <c r="B57" s="84"/>
      <c r="C57" s="85"/>
      <c r="D57" s="85"/>
      <c r="E57" s="85"/>
      <c r="F57" s="85"/>
      <c r="G57" s="86"/>
      <c r="H57" s="87"/>
    </row>
    <row r="58" spans="2:8">
      <c r="B58" s="84"/>
      <c r="C58" s="85"/>
      <c r="D58" s="85"/>
      <c r="E58" s="85"/>
      <c r="F58" s="85"/>
      <c r="G58" s="86"/>
      <c r="H58" s="87"/>
    </row>
    <row r="59" spans="2:8">
      <c r="B59" s="84"/>
      <c r="C59" s="85"/>
      <c r="D59" s="85"/>
      <c r="E59" s="85"/>
      <c r="F59" s="85"/>
      <c r="G59" s="86"/>
      <c r="H59" s="87"/>
    </row>
    <row r="60" spans="2:8">
      <c r="B60" s="84"/>
      <c r="C60" s="85"/>
      <c r="D60" s="85"/>
      <c r="E60" s="85"/>
      <c r="F60" s="85"/>
      <c r="G60" s="86"/>
      <c r="H60" s="87"/>
    </row>
    <row r="61" spans="2:8">
      <c r="B61" s="84"/>
      <c r="C61" s="85"/>
      <c r="D61" s="85"/>
      <c r="E61" s="85"/>
      <c r="F61" s="85"/>
      <c r="G61" s="86"/>
      <c r="H61" s="87"/>
    </row>
    <row r="62" spans="2:8">
      <c r="B62" s="84"/>
      <c r="C62" s="85"/>
      <c r="D62" s="85"/>
      <c r="E62" s="85"/>
      <c r="F62" s="85"/>
      <c r="G62" s="86"/>
      <c r="H62" s="87"/>
    </row>
    <row r="63" spans="2:8">
      <c r="B63" s="84"/>
      <c r="C63" s="85"/>
      <c r="D63" s="85"/>
      <c r="E63" s="85"/>
      <c r="F63" s="85"/>
      <c r="G63" s="86"/>
      <c r="H63" s="87"/>
    </row>
    <row r="64" spans="2:8">
      <c r="B64" s="84"/>
      <c r="C64" s="85"/>
      <c r="D64" s="85"/>
      <c r="E64" s="85"/>
      <c r="F64" s="85"/>
      <c r="G64" s="86"/>
      <c r="H64" s="87"/>
    </row>
    <row r="65" spans="2:8">
      <c r="B65" s="84"/>
      <c r="C65" s="85"/>
      <c r="D65" s="85"/>
      <c r="E65" s="85"/>
      <c r="F65" s="85"/>
      <c r="G65" s="86"/>
      <c r="H65" s="87"/>
    </row>
    <row r="66" spans="2:8">
      <c r="B66" s="84"/>
      <c r="C66" s="85"/>
      <c r="D66" s="85"/>
      <c r="E66" s="85"/>
      <c r="F66" s="85"/>
      <c r="G66" s="86"/>
      <c r="H66" s="87"/>
    </row>
    <row r="67" spans="2:8">
      <c r="B67" s="84"/>
      <c r="C67" s="85"/>
      <c r="D67" s="85"/>
      <c r="E67" s="85"/>
      <c r="F67" s="85"/>
      <c r="G67" s="86"/>
      <c r="H67" s="87"/>
    </row>
    <row r="68" spans="2:8">
      <c r="B68" s="84"/>
      <c r="C68" s="85"/>
      <c r="D68" s="85"/>
      <c r="E68" s="85"/>
      <c r="F68" s="85"/>
      <c r="G68" s="86"/>
      <c r="H68" s="87"/>
    </row>
    <row r="69" spans="2:8">
      <c r="B69" s="84"/>
      <c r="C69" s="85"/>
      <c r="D69" s="85"/>
      <c r="E69" s="85"/>
      <c r="F69" s="85"/>
      <c r="G69" s="86"/>
      <c r="H69" s="87"/>
    </row>
    <row r="70" spans="2:8">
      <c r="B70" s="84"/>
      <c r="C70" s="85"/>
      <c r="D70" s="85"/>
      <c r="E70" s="85"/>
      <c r="F70" s="85"/>
      <c r="G70" s="86"/>
      <c r="H70" s="87"/>
    </row>
    <row r="71" spans="2:8">
      <c r="B71" s="84"/>
      <c r="C71" s="85"/>
      <c r="D71" s="85"/>
      <c r="E71" s="85"/>
      <c r="F71" s="85"/>
      <c r="G71" s="86"/>
      <c r="H71" s="87"/>
    </row>
    <row r="72" spans="2:8">
      <c r="B72" s="84"/>
      <c r="C72" s="85"/>
      <c r="D72" s="85"/>
      <c r="E72" s="85"/>
      <c r="F72" s="85"/>
      <c r="G72" s="86"/>
      <c r="H72" s="87"/>
    </row>
    <row r="73" spans="2:8">
      <c r="B73" s="84"/>
      <c r="C73" s="85"/>
      <c r="D73" s="85"/>
      <c r="E73" s="85"/>
      <c r="F73" s="85"/>
      <c r="G73" s="86"/>
      <c r="H73" s="87"/>
    </row>
    <row r="74" spans="2:8">
      <c r="B74" s="84"/>
      <c r="C74" s="85"/>
      <c r="D74" s="85"/>
      <c r="E74" s="85"/>
      <c r="F74" s="85"/>
      <c r="G74" s="86"/>
      <c r="H74" s="87"/>
    </row>
    <row r="75" spans="2:8">
      <c r="B75" s="84"/>
      <c r="C75" s="85"/>
      <c r="D75" s="85"/>
      <c r="E75" s="85"/>
      <c r="F75" s="85"/>
      <c r="G75" s="86"/>
      <c r="H75" s="87"/>
    </row>
    <row r="76" spans="2:8">
      <c r="B76" s="84"/>
      <c r="C76" s="85"/>
      <c r="D76" s="85"/>
      <c r="E76" s="85"/>
      <c r="F76" s="85"/>
      <c r="G76" s="86"/>
      <c r="H76" s="87"/>
    </row>
    <row r="77" spans="2:8">
      <c r="B77" s="84"/>
      <c r="C77" s="85"/>
      <c r="D77" s="85"/>
      <c r="E77" s="85"/>
      <c r="F77" s="85"/>
      <c r="G77" s="86"/>
      <c r="H77" s="87"/>
    </row>
    <row r="78" spans="2:8">
      <c r="B78" s="84"/>
      <c r="C78" s="85"/>
      <c r="D78" s="85"/>
      <c r="E78" s="85"/>
      <c r="F78" s="85"/>
      <c r="G78" s="86"/>
      <c r="H78" s="87"/>
    </row>
    <row r="79" spans="2:8">
      <c r="B79" s="84"/>
      <c r="C79" s="85"/>
      <c r="D79" s="85"/>
      <c r="E79" s="85"/>
      <c r="F79" s="85"/>
      <c r="G79" s="86"/>
      <c r="H79" s="87"/>
    </row>
    <row r="80" spans="2:8">
      <c r="B80" s="84"/>
      <c r="C80" s="85"/>
      <c r="D80" s="85"/>
      <c r="E80" s="85"/>
      <c r="F80" s="85"/>
      <c r="G80" s="86"/>
      <c r="H80" s="87"/>
    </row>
    <row r="81" spans="2:8">
      <c r="B81" s="84"/>
      <c r="C81" s="85"/>
      <c r="D81" s="85"/>
      <c r="E81" s="85"/>
      <c r="F81" s="85"/>
      <c r="G81" s="86"/>
      <c r="H81" s="87"/>
    </row>
    <row r="82" spans="2:8">
      <c r="B82" s="84"/>
      <c r="C82" s="85"/>
      <c r="D82" s="85"/>
      <c r="E82" s="85"/>
      <c r="F82" s="85"/>
      <c r="G82" s="86"/>
      <c r="H82" s="87"/>
    </row>
    <row r="83" spans="2:8">
      <c r="B83" s="84"/>
      <c r="C83" s="85"/>
      <c r="D83" s="85"/>
      <c r="E83" s="85"/>
      <c r="F83" s="85"/>
      <c r="G83" s="86"/>
      <c r="H83" s="87"/>
    </row>
    <row r="84" spans="2:8">
      <c r="B84" s="84"/>
      <c r="C84" s="85"/>
      <c r="D84" s="85"/>
      <c r="E84" s="85"/>
      <c r="F84" s="85"/>
      <c r="G84" s="86"/>
      <c r="H84" s="87"/>
    </row>
    <row r="85" spans="2:8">
      <c r="B85" s="84"/>
      <c r="C85" s="85"/>
      <c r="D85" s="85"/>
      <c r="E85" s="85"/>
      <c r="F85" s="85"/>
      <c r="G85" s="86"/>
      <c r="H85" s="87"/>
    </row>
    <row r="86" spans="2:8">
      <c r="B86" s="84"/>
      <c r="C86" s="85"/>
      <c r="D86" s="85"/>
      <c r="E86" s="85"/>
      <c r="F86" s="85"/>
      <c r="G86" s="86"/>
      <c r="H86" s="87"/>
    </row>
    <row r="87" spans="2:8">
      <c r="B87" s="84"/>
      <c r="C87" s="85"/>
      <c r="D87" s="85"/>
      <c r="E87" s="85"/>
      <c r="F87" s="85"/>
      <c r="G87" s="86"/>
      <c r="H87" s="87"/>
    </row>
    <row r="88" spans="2:8">
      <c r="B88" s="84"/>
      <c r="C88" s="85"/>
      <c r="D88" s="85"/>
      <c r="E88" s="85"/>
      <c r="F88" s="85"/>
      <c r="G88" s="86"/>
      <c r="H88" s="87"/>
    </row>
    <row r="89" spans="2:8">
      <c r="B89" s="84"/>
      <c r="C89" s="85"/>
      <c r="D89" s="85"/>
      <c r="E89" s="85"/>
      <c r="F89" s="85"/>
      <c r="G89" s="86"/>
      <c r="H89" s="87"/>
    </row>
    <row r="90" spans="2:8">
      <c r="B90" s="84"/>
      <c r="C90" s="85"/>
      <c r="D90" s="85"/>
      <c r="E90" s="85"/>
      <c r="F90" s="85"/>
      <c r="G90" s="86"/>
      <c r="H90" s="87"/>
    </row>
    <row r="91" spans="2:8">
      <c r="B91" s="84"/>
      <c r="C91" s="85"/>
      <c r="D91" s="85"/>
      <c r="E91" s="85"/>
      <c r="F91" s="85"/>
      <c r="G91" s="86"/>
      <c r="H91" s="87"/>
    </row>
    <row r="92" spans="2:8">
      <c r="B92" s="84"/>
      <c r="C92" s="85"/>
      <c r="D92" s="85"/>
      <c r="E92" s="85"/>
      <c r="F92" s="85"/>
      <c r="G92" s="86"/>
      <c r="H92" s="87"/>
    </row>
    <row r="93" spans="2:8">
      <c r="B93" s="84"/>
      <c r="C93" s="85"/>
      <c r="D93" s="85"/>
      <c r="E93" s="85"/>
      <c r="F93" s="85"/>
      <c r="G93" s="86"/>
      <c r="H93" s="87"/>
    </row>
    <row r="94" spans="2:8">
      <c r="B94" s="84"/>
      <c r="C94" s="85"/>
      <c r="D94" s="85"/>
      <c r="E94" s="85"/>
      <c r="F94" s="85"/>
      <c r="G94" s="86"/>
      <c r="H94" s="87"/>
    </row>
    <row r="95" spans="2:8">
      <c r="B95" s="84"/>
      <c r="C95" s="85"/>
      <c r="D95" s="85"/>
      <c r="E95" s="85"/>
      <c r="F95" s="85"/>
      <c r="G95" s="86"/>
      <c r="H95" s="87"/>
    </row>
    <row r="96" spans="2:8">
      <c r="B96" s="84"/>
      <c r="C96" s="85"/>
      <c r="D96" s="85"/>
      <c r="E96" s="85"/>
      <c r="F96" s="85"/>
      <c r="G96" s="86"/>
      <c r="H96" s="87"/>
    </row>
    <row r="97" spans="2:8">
      <c r="B97" s="84"/>
      <c r="C97" s="85"/>
      <c r="D97" s="85"/>
      <c r="E97" s="85"/>
      <c r="F97" s="85"/>
      <c r="G97" s="86"/>
      <c r="H97" s="87"/>
    </row>
    <row r="98" spans="2:8">
      <c r="B98" s="84"/>
      <c r="C98" s="85"/>
      <c r="D98" s="85"/>
      <c r="E98" s="85"/>
      <c r="F98" s="85"/>
      <c r="G98" s="86"/>
      <c r="H98" s="87"/>
    </row>
    <row r="99" spans="2:8">
      <c r="B99" s="84"/>
      <c r="C99" s="85"/>
      <c r="D99" s="85"/>
      <c r="E99" s="85"/>
      <c r="F99" s="85"/>
      <c r="G99" s="86"/>
      <c r="H99" s="87"/>
    </row>
    <row r="100" spans="2:8">
      <c r="B100" s="84"/>
      <c r="C100" s="85"/>
      <c r="D100" s="85"/>
      <c r="E100" s="85"/>
      <c r="F100" s="85"/>
      <c r="G100" s="86"/>
      <c r="H100" s="87"/>
    </row>
    <row r="101" spans="2:8">
      <c r="B101" s="84"/>
      <c r="C101" s="85"/>
      <c r="D101" s="85"/>
      <c r="E101" s="85"/>
      <c r="F101" s="85"/>
      <c r="G101" s="86"/>
      <c r="H101" s="87"/>
    </row>
    <row r="102" spans="2:8">
      <c r="B102" s="84"/>
      <c r="C102" s="85"/>
      <c r="D102" s="85"/>
      <c r="E102" s="85"/>
      <c r="F102" s="85"/>
      <c r="G102" s="86"/>
      <c r="H102" s="87"/>
    </row>
    <row r="103" spans="2:8">
      <c r="B103" s="84"/>
      <c r="C103" s="85"/>
      <c r="D103" s="85"/>
      <c r="E103" s="85"/>
      <c r="F103" s="85"/>
      <c r="G103" s="86"/>
      <c r="H103" s="87"/>
    </row>
    <row r="104" spans="2:8">
      <c r="B104" s="84"/>
      <c r="C104" s="85"/>
      <c r="D104" s="85"/>
      <c r="E104" s="85"/>
      <c r="F104" s="85"/>
      <c r="G104" s="86"/>
      <c r="H104" s="87"/>
    </row>
    <row r="105" spans="2:8">
      <c r="B105" s="84"/>
      <c r="C105" s="85"/>
      <c r="D105" s="85"/>
      <c r="E105" s="85"/>
      <c r="F105" s="85"/>
      <c r="G105" s="86"/>
      <c r="H105" s="87"/>
    </row>
    <row r="106" spans="2:8">
      <c r="B106" s="84"/>
      <c r="C106" s="85"/>
      <c r="D106" s="85"/>
      <c r="E106" s="85"/>
      <c r="F106" s="85"/>
      <c r="G106" s="86"/>
      <c r="H106" s="87"/>
    </row>
    <row r="107" spans="2:8">
      <c r="B107" s="84"/>
      <c r="C107" s="85"/>
      <c r="D107" s="85"/>
      <c r="E107" s="85"/>
      <c r="F107" s="85"/>
      <c r="G107" s="86"/>
      <c r="H107" s="87"/>
    </row>
    <row r="108" spans="2:8">
      <c r="B108" s="84"/>
      <c r="C108" s="85"/>
      <c r="D108" s="85"/>
      <c r="E108" s="85"/>
      <c r="F108" s="85"/>
      <c r="G108" s="86"/>
      <c r="H108" s="87"/>
    </row>
    <row r="109" spans="2:8">
      <c r="B109" s="84"/>
      <c r="C109" s="85"/>
      <c r="D109" s="85"/>
      <c r="E109" s="85"/>
      <c r="F109" s="85"/>
      <c r="G109" s="86"/>
      <c r="H109" s="87"/>
    </row>
    <row r="110" spans="2:8">
      <c r="B110" s="84"/>
      <c r="C110" s="85"/>
      <c r="D110" s="85"/>
      <c r="E110" s="85"/>
      <c r="F110" s="85"/>
      <c r="G110" s="86"/>
      <c r="H110" s="87"/>
    </row>
    <row r="111" spans="2:8">
      <c r="B111" s="84"/>
      <c r="C111" s="85"/>
      <c r="D111" s="85"/>
      <c r="E111" s="85"/>
      <c r="F111" s="85"/>
      <c r="G111" s="86"/>
      <c r="H111" s="87"/>
    </row>
    <row r="112" spans="2:8">
      <c r="B112" s="84"/>
      <c r="C112" s="85"/>
      <c r="D112" s="85"/>
      <c r="E112" s="85"/>
      <c r="F112" s="85"/>
      <c r="G112" s="86"/>
      <c r="H112" s="87"/>
    </row>
    <row r="113" spans="2:8">
      <c r="B113" s="84"/>
      <c r="C113" s="85"/>
      <c r="D113" s="85"/>
      <c r="E113" s="85"/>
      <c r="F113" s="85"/>
      <c r="G113" s="86"/>
      <c r="H113" s="87"/>
    </row>
    <row r="114" spans="2:8">
      <c r="B114" s="84"/>
      <c r="C114" s="85"/>
      <c r="D114" s="85"/>
      <c r="E114" s="85"/>
      <c r="F114" s="85"/>
      <c r="G114" s="86"/>
      <c r="H114" s="87"/>
    </row>
    <row r="115" spans="2:8">
      <c r="B115" s="84"/>
      <c r="C115" s="85"/>
      <c r="D115" s="85"/>
      <c r="E115" s="85"/>
      <c r="F115" s="85"/>
      <c r="G115" s="86"/>
      <c r="H115" s="87"/>
    </row>
    <row r="116" spans="2:8">
      <c r="B116" s="84"/>
      <c r="C116" s="85"/>
      <c r="D116" s="85"/>
      <c r="E116" s="85"/>
      <c r="F116" s="85"/>
      <c r="G116" s="86"/>
      <c r="H116" s="87"/>
    </row>
    <row r="117" spans="2:8">
      <c r="B117" s="84"/>
      <c r="C117" s="85"/>
      <c r="D117" s="85"/>
      <c r="E117" s="85"/>
      <c r="F117" s="85"/>
      <c r="G117" s="86"/>
      <c r="H117" s="87"/>
    </row>
    <row r="118" spans="2:8">
      <c r="B118" s="84"/>
      <c r="C118" s="85"/>
      <c r="D118" s="85"/>
      <c r="E118" s="85"/>
      <c r="F118" s="85"/>
      <c r="G118" s="86"/>
      <c r="H118" s="87"/>
    </row>
    <row r="119" spans="2:8">
      <c r="B119" s="84"/>
      <c r="C119" s="85"/>
      <c r="D119" s="85"/>
      <c r="E119" s="85"/>
      <c r="F119" s="85"/>
      <c r="G119" s="86"/>
      <c r="H119" s="87"/>
    </row>
    <row r="120" spans="2:8">
      <c r="B120" s="84"/>
      <c r="C120" s="85"/>
      <c r="D120" s="85"/>
      <c r="E120" s="85"/>
      <c r="F120" s="85"/>
      <c r="G120" s="86"/>
      <c r="H120" s="87"/>
    </row>
    <row r="121" spans="2:8">
      <c r="B121" s="84"/>
      <c r="C121" s="85"/>
      <c r="D121" s="85"/>
      <c r="E121" s="85"/>
      <c r="F121" s="85"/>
      <c r="G121" s="86"/>
      <c r="H121" s="87"/>
    </row>
    <row r="122" spans="2:8">
      <c r="B122" s="84"/>
      <c r="C122" s="85"/>
      <c r="D122" s="85"/>
      <c r="E122" s="85"/>
      <c r="F122" s="85"/>
      <c r="G122" s="86"/>
      <c r="H122" s="87"/>
    </row>
    <row r="123" spans="2:8">
      <c r="B123" s="84"/>
      <c r="C123" s="85"/>
      <c r="D123" s="85"/>
      <c r="E123" s="85"/>
      <c r="F123" s="85"/>
      <c r="G123" s="86"/>
      <c r="H123" s="87"/>
    </row>
    <row r="124" spans="2:8">
      <c r="B124" s="84"/>
      <c r="C124" s="85"/>
      <c r="D124" s="85"/>
      <c r="E124" s="85"/>
      <c r="F124" s="85"/>
      <c r="G124" s="86"/>
      <c r="H124" s="87"/>
    </row>
    <row r="125" spans="2:8">
      <c r="B125" s="84"/>
      <c r="C125" s="85"/>
      <c r="D125" s="85"/>
      <c r="E125" s="85"/>
      <c r="F125" s="85"/>
      <c r="G125" s="86"/>
      <c r="H125" s="87"/>
    </row>
    <row r="126" spans="2:8">
      <c r="B126" s="84"/>
      <c r="C126" s="85"/>
      <c r="D126" s="85"/>
      <c r="E126" s="85"/>
      <c r="F126" s="85"/>
      <c r="G126" s="86"/>
      <c r="H126" s="87"/>
    </row>
    <row r="127" spans="2:8">
      <c r="B127" s="84"/>
      <c r="C127" s="85"/>
      <c r="D127" s="85"/>
      <c r="E127" s="85"/>
      <c r="F127" s="85"/>
      <c r="G127" s="86"/>
      <c r="H127" s="87"/>
    </row>
    <row r="128" spans="2:8">
      <c r="B128" s="84"/>
      <c r="C128" s="85"/>
      <c r="D128" s="85"/>
      <c r="E128" s="85"/>
      <c r="F128" s="85"/>
      <c r="G128" s="86"/>
      <c r="H128" s="87"/>
    </row>
    <row r="129" spans="2:8">
      <c r="B129" s="84"/>
      <c r="C129" s="85"/>
      <c r="D129" s="85"/>
      <c r="E129" s="85"/>
      <c r="F129" s="85"/>
      <c r="G129" s="86"/>
      <c r="H129" s="87"/>
    </row>
    <row r="130" spans="2:8">
      <c r="B130" s="84"/>
      <c r="C130" s="85"/>
      <c r="D130" s="85"/>
      <c r="E130" s="85"/>
      <c r="F130" s="85"/>
      <c r="G130" s="86"/>
      <c r="H130" s="87"/>
    </row>
    <row r="131" spans="2:8">
      <c r="B131" s="84"/>
      <c r="C131" s="85"/>
      <c r="D131" s="85"/>
      <c r="E131" s="85"/>
      <c r="F131" s="85"/>
      <c r="G131" s="86"/>
      <c r="H131" s="87"/>
    </row>
    <row r="132" spans="2:8">
      <c r="B132" s="84"/>
      <c r="C132" s="85"/>
      <c r="D132" s="85"/>
      <c r="E132" s="85"/>
      <c r="F132" s="85"/>
      <c r="G132" s="86"/>
      <c r="H132" s="87"/>
    </row>
    <row r="133" spans="2:8">
      <c r="B133" s="84"/>
      <c r="C133" s="85"/>
      <c r="D133" s="85"/>
      <c r="E133" s="85"/>
      <c r="F133" s="85"/>
      <c r="G133" s="86"/>
      <c r="H133" s="87"/>
    </row>
    <row r="134" spans="2:8">
      <c r="B134" s="84"/>
      <c r="C134" s="85"/>
      <c r="D134" s="85"/>
      <c r="E134" s="85"/>
      <c r="F134" s="85"/>
      <c r="G134" s="86"/>
      <c r="H134" s="87"/>
    </row>
    <row r="135" spans="2:8">
      <c r="B135" s="84"/>
      <c r="C135" s="85"/>
      <c r="D135" s="85"/>
      <c r="E135" s="85"/>
      <c r="F135" s="85"/>
      <c r="G135" s="86"/>
      <c r="H135" s="87"/>
    </row>
    <row r="136" spans="2:8">
      <c r="B136" s="84"/>
      <c r="C136" s="85"/>
      <c r="D136" s="85"/>
      <c r="E136" s="85"/>
      <c r="F136" s="85"/>
      <c r="G136" s="86"/>
      <c r="H136" s="87"/>
    </row>
    <row r="137" spans="2:8">
      <c r="B137" s="84"/>
      <c r="C137" s="85"/>
      <c r="D137" s="85"/>
      <c r="E137" s="85"/>
      <c r="F137" s="85"/>
      <c r="G137" s="86"/>
      <c r="H137" s="87"/>
    </row>
    <row r="138" spans="2:8">
      <c r="B138" s="84"/>
      <c r="C138" s="85"/>
      <c r="D138" s="85"/>
      <c r="E138" s="85"/>
      <c r="F138" s="85"/>
      <c r="G138" s="86"/>
      <c r="H138" s="87"/>
    </row>
    <row r="139" spans="2:8">
      <c r="B139" s="84"/>
      <c r="C139" s="85"/>
      <c r="D139" s="85"/>
      <c r="E139" s="85"/>
      <c r="F139" s="85"/>
      <c r="G139" s="86"/>
      <c r="H139" s="87"/>
    </row>
    <row r="140" spans="2:8">
      <c r="B140" s="84"/>
      <c r="C140" s="85"/>
      <c r="D140" s="85"/>
      <c r="E140" s="85"/>
      <c r="F140" s="85"/>
      <c r="G140" s="86"/>
      <c r="H140" s="87"/>
    </row>
    <row r="141" spans="2:8">
      <c r="B141" s="84"/>
      <c r="C141" s="85"/>
      <c r="D141" s="85"/>
      <c r="E141" s="85"/>
      <c r="F141" s="85"/>
      <c r="G141" s="86"/>
      <c r="H141" s="87"/>
    </row>
    <row r="142" spans="2:8">
      <c r="B142" s="84"/>
      <c r="C142" s="85"/>
      <c r="D142" s="85"/>
      <c r="E142" s="85"/>
      <c r="F142" s="85"/>
      <c r="G142" s="86"/>
      <c r="H142" s="87"/>
    </row>
    <row r="143" spans="2:8">
      <c r="B143" s="84"/>
      <c r="C143" s="85"/>
      <c r="D143" s="85"/>
      <c r="E143" s="85"/>
      <c r="F143" s="85"/>
      <c r="G143" s="86"/>
      <c r="H143" s="87"/>
    </row>
    <row r="144" spans="2:8">
      <c r="B144" s="84"/>
      <c r="C144" s="85"/>
      <c r="D144" s="85"/>
      <c r="E144" s="85"/>
      <c r="F144" s="85"/>
      <c r="G144" s="86"/>
      <c r="H144" s="87"/>
    </row>
    <row r="145" spans="2:8">
      <c r="B145" s="84"/>
      <c r="C145" s="85"/>
      <c r="D145" s="85"/>
      <c r="E145" s="85"/>
      <c r="F145" s="85"/>
      <c r="G145" s="86"/>
      <c r="H145" s="87"/>
    </row>
    <row r="146" spans="2:8">
      <c r="B146" s="84"/>
      <c r="C146" s="85"/>
      <c r="D146" s="85"/>
      <c r="E146" s="85"/>
      <c r="F146" s="85"/>
      <c r="G146" s="86"/>
      <c r="H146" s="87"/>
    </row>
    <row r="147" spans="2:8">
      <c r="B147" s="84"/>
      <c r="C147" s="85"/>
      <c r="D147" s="85"/>
      <c r="E147" s="85"/>
      <c r="F147" s="85"/>
      <c r="G147" s="86"/>
      <c r="H147" s="87"/>
    </row>
    <row r="148" spans="2:8">
      <c r="B148" s="84"/>
      <c r="C148" s="85"/>
      <c r="D148" s="85"/>
      <c r="E148" s="85"/>
      <c r="F148" s="85"/>
      <c r="G148" s="86"/>
      <c r="H148" s="87"/>
    </row>
    <row r="149" spans="2:8">
      <c r="B149" s="84"/>
      <c r="C149" s="85"/>
      <c r="D149" s="85"/>
      <c r="E149" s="85"/>
      <c r="F149" s="85"/>
      <c r="G149" s="86"/>
      <c r="H149" s="87"/>
    </row>
    <row r="150" spans="2:8">
      <c r="B150" s="84"/>
      <c r="C150" s="85"/>
      <c r="D150" s="85"/>
      <c r="E150" s="85"/>
      <c r="F150" s="85"/>
      <c r="G150" s="86"/>
      <c r="H150" s="87"/>
    </row>
    <row r="151" spans="2:8">
      <c r="B151" s="84"/>
      <c r="C151" s="85"/>
      <c r="D151" s="85"/>
      <c r="E151" s="85"/>
      <c r="F151" s="85"/>
      <c r="G151" s="86"/>
      <c r="H151" s="87"/>
    </row>
    <row r="152" spans="2:8">
      <c r="B152" s="84"/>
      <c r="C152" s="85"/>
      <c r="D152" s="85"/>
      <c r="E152" s="85"/>
      <c r="F152" s="85"/>
      <c r="G152" s="86"/>
      <c r="H152" s="87"/>
    </row>
    <row r="153" spans="2:8">
      <c r="B153" s="84"/>
      <c r="C153" s="85"/>
      <c r="D153" s="85"/>
      <c r="E153" s="85"/>
      <c r="F153" s="85"/>
      <c r="G153" s="86"/>
      <c r="H153" s="87"/>
    </row>
    <row r="154" spans="2:8">
      <c r="B154" s="84"/>
      <c r="C154" s="85"/>
      <c r="D154" s="85"/>
      <c r="E154" s="85"/>
      <c r="F154" s="85"/>
      <c r="G154" s="86"/>
      <c r="H154" s="87"/>
    </row>
    <row r="155" spans="2:8">
      <c r="B155" s="84"/>
      <c r="C155" s="85"/>
      <c r="D155" s="85"/>
      <c r="E155" s="85"/>
      <c r="F155" s="85"/>
      <c r="G155" s="86"/>
      <c r="H155" s="87"/>
    </row>
    <row r="156" spans="2:8">
      <c r="B156" s="84"/>
      <c r="C156" s="85"/>
      <c r="D156" s="85"/>
      <c r="E156" s="85"/>
      <c r="F156" s="85"/>
      <c r="G156" s="86"/>
      <c r="H156" s="87"/>
    </row>
    <row r="157" spans="2:8">
      <c r="B157" s="84"/>
      <c r="C157" s="85"/>
      <c r="D157" s="85"/>
      <c r="E157" s="85"/>
      <c r="F157" s="85"/>
      <c r="G157" s="86"/>
      <c r="H157" s="87"/>
    </row>
    <row r="158" spans="2:8">
      <c r="B158" s="84"/>
      <c r="C158" s="85"/>
      <c r="D158" s="85"/>
      <c r="E158" s="85"/>
      <c r="F158" s="85"/>
      <c r="G158" s="86"/>
      <c r="H158" s="87"/>
    </row>
    <row r="159" spans="2:8">
      <c r="B159" s="84"/>
      <c r="C159" s="85"/>
      <c r="D159" s="85"/>
      <c r="E159" s="85"/>
      <c r="F159" s="85"/>
      <c r="G159" s="86"/>
      <c r="H159" s="87"/>
    </row>
    <row r="160" spans="2:8">
      <c r="B160" s="84"/>
      <c r="C160" s="85"/>
      <c r="D160" s="85"/>
      <c r="E160" s="85"/>
      <c r="F160" s="85"/>
      <c r="G160" s="86"/>
      <c r="H160" s="87"/>
    </row>
    <row r="161" spans="2:8">
      <c r="B161" s="84"/>
      <c r="C161" s="85"/>
      <c r="D161" s="85"/>
      <c r="E161" s="85"/>
      <c r="F161" s="85"/>
      <c r="G161" s="86"/>
      <c r="H161" s="87"/>
    </row>
    <row r="162" spans="2:8">
      <c r="B162" s="84"/>
      <c r="C162" s="85"/>
      <c r="D162" s="85"/>
      <c r="E162" s="85"/>
      <c r="F162" s="85"/>
      <c r="G162" s="86"/>
      <c r="H162" s="87"/>
    </row>
    <row r="163" spans="2:8">
      <c r="B163" s="84"/>
      <c r="C163" s="85"/>
      <c r="D163" s="85"/>
      <c r="E163" s="85"/>
      <c r="F163" s="85"/>
      <c r="G163" s="86"/>
      <c r="H163" s="87"/>
    </row>
    <row r="164" spans="2:8">
      <c r="B164" s="84"/>
      <c r="C164" s="85"/>
      <c r="D164" s="85"/>
      <c r="E164" s="85"/>
      <c r="F164" s="85"/>
      <c r="G164" s="86"/>
      <c r="H164" s="87"/>
    </row>
    <row r="165" spans="2:8">
      <c r="B165" s="84"/>
      <c r="C165" s="85"/>
      <c r="D165" s="85"/>
      <c r="E165" s="85"/>
      <c r="F165" s="85"/>
      <c r="G165" s="86"/>
      <c r="H165" s="87"/>
    </row>
    <row r="166" spans="2:8">
      <c r="B166" s="84"/>
      <c r="C166" s="85"/>
      <c r="D166" s="85"/>
      <c r="E166" s="85"/>
      <c r="F166" s="85"/>
      <c r="G166" s="86"/>
      <c r="H166" s="87"/>
    </row>
    <row r="167" spans="2:8">
      <c r="B167" s="84"/>
      <c r="C167" s="85"/>
      <c r="D167" s="85"/>
      <c r="E167" s="85"/>
      <c r="F167" s="85"/>
      <c r="G167" s="86"/>
      <c r="H167" s="87"/>
    </row>
    <row r="168" spans="2:8">
      <c r="B168" s="84"/>
      <c r="C168" s="85"/>
      <c r="D168" s="85"/>
      <c r="E168" s="85"/>
      <c r="F168" s="85"/>
      <c r="G168" s="86"/>
      <c r="H168" s="87"/>
    </row>
    <row r="169" spans="2:8">
      <c r="B169" s="84"/>
      <c r="C169" s="85"/>
      <c r="D169" s="85"/>
      <c r="E169" s="85"/>
      <c r="F169" s="85"/>
      <c r="G169" s="86"/>
      <c r="H169" s="87"/>
    </row>
    <row r="170" spans="2:8">
      <c r="B170" s="84"/>
      <c r="C170" s="85"/>
      <c r="D170" s="85"/>
      <c r="E170" s="85"/>
      <c r="F170" s="85"/>
      <c r="G170" s="86"/>
      <c r="H170" s="87"/>
    </row>
    <row r="171" spans="2:8">
      <c r="B171" s="84"/>
      <c r="C171" s="85"/>
      <c r="D171" s="85"/>
      <c r="E171" s="85"/>
      <c r="F171" s="85"/>
      <c r="G171" s="86"/>
      <c r="H171" s="87"/>
    </row>
    <row r="172" spans="2:8">
      <c r="B172" s="84"/>
      <c r="C172" s="85"/>
      <c r="D172" s="85"/>
      <c r="E172" s="85"/>
      <c r="F172" s="85"/>
      <c r="G172" s="86"/>
      <c r="H172" s="87"/>
    </row>
    <row r="173" spans="2:8">
      <c r="B173" s="84"/>
      <c r="C173" s="85"/>
      <c r="D173" s="85"/>
      <c r="E173" s="85"/>
      <c r="F173" s="85"/>
      <c r="G173" s="86"/>
      <c r="H173" s="87"/>
    </row>
    <row r="174" spans="2:8">
      <c r="B174" s="84"/>
      <c r="C174" s="85"/>
      <c r="D174" s="85"/>
      <c r="E174" s="85"/>
      <c r="F174" s="85"/>
      <c r="G174" s="86"/>
      <c r="H174" s="87"/>
    </row>
    <row r="175" spans="2:8">
      <c r="B175" s="84"/>
      <c r="C175" s="85"/>
      <c r="D175" s="85"/>
      <c r="E175" s="85"/>
      <c r="F175" s="85"/>
      <c r="G175" s="86"/>
      <c r="H175" s="87"/>
    </row>
    <row r="176" spans="2:8">
      <c r="B176" s="84"/>
      <c r="C176" s="85"/>
      <c r="D176" s="85"/>
      <c r="E176" s="85"/>
      <c r="F176" s="85"/>
      <c r="G176" s="86"/>
      <c r="H176" s="87"/>
    </row>
    <row r="177" spans="2:8">
      <c r="B177" s="84"/>
      <c r="C177" s="85"/>
      <c r="D177" s="85"/>
      <c r="E177" s="85"/>
      <c r="F177" s="85"/>
      <c r="G177" s="86"/>
      <c r="H177" s="87"/>
    </row>
    <row r="178" spans="2:8">
      <c r="B178" s="84"/>
      <c r="C178" s="85"/>
      <c r="D178" s="85"/>
      <c r="E178" s="85"/>
      <c r="F178" s="85"/>
      <c r="G178" s="86"/>
      <c r="H178" s="87"/>
    </row>
    <row r="179" spans="2:8">
      <c r="B179" s="84"/>
      <c r="C179" s="85"/>
      <c r="D179" s="85"/>
      <c r="E179" s="85"/>
      <c r="F179" s="85"/>
      <c r="G179" s="86"/>
      <c r="H179" s="87"/>
    </row>
    <row r="180" spans="2:8">
      <c r="B180" s="84"/>
      <c r="C180" s="85"/>
      <c r="D180" s="85"/>
      <c r="E180" s="85"/>
      <c r="F180" s="85"/>
      <c r="G180" s="86"/>
      <c r="H180" s="87"/>
    </row>
    <row r="181" spans="2:8">
      <c r="B181" s="84"/>
      <c r="C181" s="85"/>
      <c r="D181" s="85"/>
      <c r="E181" s="85"/>
      <c r="F181" s="85"/>
      <c r="G181" s="86"/>
      <c r="H181" s="87"/>
    </row>
    <row r="182" spans="2:8">
      <c r="B182" s="84"/>
      <c r="C182" s="85"/>
      <c r="D182" s="85"/>
      <c r="E182" s="85"/>
      <c r="F182" s="85"/>
      <c r="G182" s="86"/>
      <c r="H182" s="87"/>
    </row>
    <row r="183" spans="2:8">
      <c r="B183" s="84"/>
      <c r="C183" s="85"/>
      <c r="D183" s="85"/>
      <c r="E183" s="85"/>
      <c r="F183" s="85"/>
      <c r="G183" s="86"/>
      <c r="H183" s="87"/>
    </row>
    <row r="184" spans="2:8">
      <c r="B184" s="84"/>
      <c r="C184" s="85"/>
      <c r="D184" s="85"/>
      <c r="E184" s="85"/>
      <c r="F184" s="85"/>
      <c r="G184" s="86"/>
      <c r="H184" s="87"/>
    </row>
    <row r="185" spans="2:8">
      <c r="B185" s="84"/>
      <c r="C185" s="85"/>
      <c r="D185" s="85"/>
      <c r="E185" s="85"/>
      <c r="F185" s="85"/>
      <c r="G185" s="86"/>
      <c r="H185" s="87"/>
    </row>
    <row r="186" spans="2:8">
      <c r="B186" s="84"/>
      <c r="C186" s="85"/>
      <c r="D186" s="85"/>
      <c r="E186" s="85"/>
      <c r="F186" s="85"/>
      <c r="G186" s="86"/>
      <c r="H186" s="87"/>
    </row>
    <row r="187" spans="2:8">
      <c r="B187" s="84"/>
      <c r="C187" s="85"/>
      <c r="D187" s="85"/>
      <c r="E187" s="85"/>
      <c r="F187" s="85"/>
      <c r="G187" s="86"/>
      <c r="H187" s="87"/>
    </row>
    <row r="188" spans="2:8">
      <c r="B188" s="84"/>
      <c r="C188" s="85"/>
      <c r="D188" s="85"/>
      <c r="E188" s="85"/>
      <c r="F188" s="85"/>
      <c r="G188" s="86"/>
      <c r="H188" s="87"/>
    </row>
    <row r="189" spans="2:8">
      <c r="B189" s="84"/>
      <c r="C189" s="85"/>
      <c r="D189" s="85"/>
      <c r="E189" s="85"/>
      <c r="F189" s="85"/>
      <c r="G189" s="86"/>
      <c r="H189" s="87"/>
    </row>
    <row r="190" spans="2:8">
      <c r="B190" s="84"/>
      <c r="C190" s="85"/>
      <c r="D190" s="85"/>
      <c r="E190" s="85"/>
      <c r="F190" s="85"/>
      <c r="G190" s="86"/>
      <c r="H190" s="87"/>
    </row>
    <row r="191" spans="2:8">
      <c r="B191" s="84"/>
      <c r="C191" s="85"/>
      <c r="D191" s="85"/>
      <c r="E191" s="85"/>
      <c r="F191" s="85"/>
      <c r="G191" s="86"/>
      <c r="H191" s="87"/>
    </row>
    <row r="192" spans="2:8">
      <c r="B192" s="84"/>
      <c r="C192" s="85"/>
      <c r="D192" s="85"/>
      <c r="E192" s="85"/>
      <c r="F192" s="85"/>
      <c r="G192" s="86"/>
      <c r="H192" s="87"/>
    </row>
    <row r="193" spans="2:8">
      <c r="B193" s="84"/>
      <c r="C193" s="85"/>
      <c r="D193" s="85"/>
      <c r="E193" s="85"/>
      <c r="F193" s="85"/>
      <c r="G193" s="86"/>
      <c r="H193" s="87"/>
    </row>
    <row r="194" spans="2:8">
      <c r="B194" s="84"/>
      <c r="C194" s="85"/>
      <c r="D194" s="85"/>
      <c r="E194" s="85"/>
      <c r="F194" s="85"/>
      <c r="G194" s="86"/>
      <c r="H194" s="87"/>
    </row>
    <row r="195" spans="2:8">
      <c r="B195" s="84"/>
      <c r="C195" s="85"/>
      <c r="D195" s="85"/>
      <c r="E195" s="85"/>
      <c r="F195" s="85"/>
      <c r="G195" s="86"/>
      <c r="H195" s="87"/>
    </row>
    <row r="196" spans="2:8">
      <c r="B196" s="84"/>
      <c r="C196" s="85"/>
      <c r="D196" s="85"/>
      <c r="E196" s="85"/>
      <c r="F196" s="85"/>
      <c r="G196" s="86"/>
      <c r="H196" s="87"/>
    </row>
    <row r="197" spans="2:8">
      <c r="B197" s="84"/>
      <c r="C197" s="85"/>
      <c r="D197" s="85"/>
      <c r="E197" s="85"/>
      <c r="F197" s="85"/>
      <c r="G197" s="86"/>
      <c r="H197" s="87"/>
    </row>
    <row r="198" spans="2:8">
      <c r="B198" s="84"/>
      <c r="C198" s="85"/>
      <c r="D198" s="85"/>
      <c r="E198" s="85"/>
      <c r="F198" s="85"/>
      <c r="G198" s="86"/>
      <c r="H198" s="87"/>
    </row>
    <row r="199" spans="2:8">
      <c r="B199" s="84"/>
      <c r="C199" s="85"/>
      <c r="D199" s="85"/>
      <c r="E199" s="85"/>
      <c r="F199" s="85"/>
      <c r="G199" s="86"/>
      <c r="H199" s="87"/>
    </row>
    <row r="200" spans="2:8">
      <c r="B200" s="84"/>
      <c r="C200" s="85"/>
      <c r="D200" s="85"/>
      <c r="E200" s="85"/>
      <c r="F200" s="85"/>
      <c r="G200" s="86"/>
      <c r="H200" s="87"/>
    </row>
  </sheetData>
  <sheetProtection sheet="1" objects="1" scenarios="1"/>
  <mergeCells count="6">
    <mergeCell ref="B12:H12"/>
    <mergeCell ref="B14:H14"/>
    <mergeCell ref="B2:H2"/>
    <mergeCell ref="B3:H3"/>
    <mergeCell ref="B5:H5"/>
    <mergeCell ref="B13:H13"/>
  </mergeCells>
  <conditionalFormatting sqref="B11:C11">
    <cfRule type="expression" dxfId="19" priority="2">
      <formula>B11&gt;0</formula>
    </cfRule>
  </conditionalFormatting>
  <conditionalFormatting sqref="E11:F11">
    <cfRule type="expression" dxfId="18" priority="3">
      <formula>E11&gt;0</formula>
    </cfRule>
  </conditionalFormatting>
  <conditionalFormatting sqref="D11">
    <cfRule type="expression" dxfId="17" priority="4">
      <formula>D11&gt;0</formula>
    </cfRule>
  </conditionalFormatting>
  <conditionalFormatting sqref="G11">
    <cfRule type="expression" dxfId="16" priority="5">
      <formula>G11&gt;0</formula>
    </cfRule>
  </conditionalFormatting>
  <conditionalFormatting sqref="I47:I1048576">
    <cfRule type="expression" dxfId="15" priority="7">
      <formula>$I47="OVER BUDGET"</formula>
    </cfRule>
  </conditionalFormatting>
  <conditionalFormatting sqref="B16:H30 B32:H200">
    <cfRule type="expression" dxfId="14" priority="8">
      <formula>AND($B16&lt;&gt;"",LEFT($H16,7)="BLOCKED")</formula>
    </cfRule>
  </conditionalFormatting>
  <conditionalFormatting sqref="F16:F30 F32:F200">
    <cfRule type="cellIs" dxfId="13" priority="9" operator="lessThan">
      <formula>0</formula>
    </cfRule>
  </conditionalFormatting>
  <conditionalFormatting sqref="H16:H30 H32:H200">
    <cfRule type="expression" dxfId="12" priority="10">
      <formula>AND($B16&lt;&gt;"",OR(ISNUMBER(SEARCH("LOSS",$H16)),ISNUMBER(SEARCH("OVER BUDGET",$H16))))</formula>
    </cfRule>
  </conditionalFormatting>
  <dataValidations count="1">
    <dataValidation type="custom" showInputMessage="1" showErrorMessage="1" errorTitle="Check this input" error="Enter the reporting cutoff date." sqref="D4" xr:uid="{9906B25B-9FCC-43AF-B20B-897DB8837BC2}">
      <formula1>AND(ISNUMBER(D4),D4=INT(D4),D4&gt;=1,D4&lt;=DATE(9999,12,31))</formula1>
    </dataValidation>
  </dataValidations>
  <hyperlinks>
    <hyperlink ref="H4" location="'HODASSA Projects'!A6" display="Projects  ›" xr:uid="{83769D45-4463-4FFF-A0BA-0FD97A01FF0D}"/>
    <hyperlink ref="F4" location="'HODASSA Costs'!A6" display="Costs  ›" xr:uid="{43236398-6D47-4C99-96F8-6A8E19003793}"/>
    <hyperlink ref="G4" location="'HODASSA Calculations'!A18" display="Issues  ›" xr:uid="{9379B2AA-1719-4CF2-BA0B-F645F60CEBEA}"/>
    <hyperlink ref="E4" location="'HODASSA Checks'!A4" display="Checks  ›" xr:uid="{C0785FF6-5CB3-418B-8CC9-CD8901BBB4ED}"/>
  </hyperlinks>
  <pageMargins left="0.7" right="0.7" top="0.75" bottom="0.75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6E07CF3-32E9-4D2E-8758-38662A6AE84E}">
            <xm:f>'HODASSA Calculations'!$B$13&lt;&gt;"PASS"</xm:f>
            <x14:dxf>
              <font>
                <color rgb="FFB42332"/>
              </font>
              <fill>
                <patternFill patternType="solid">
                  <fgColor indexed="64"/>
                  <bgColor rgb="FFFDEBEC"/>
                </patternFill>
              </fill>
            </x14:dxf>
          </x14:cfRule>
          <xm:sqref>B5 I5:K5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77477-B10A-44E4-B9B2-71EDE62AE66A}">
  <sheetPr>
    <tabColor rgb="FF007F82"/>
  </sheetPr>
  <dimension ref="A1:P38"/>
  <sheetViews>
    <sheetView showGridLines="0" workbookViewId="0">
      <pane ySplit="6" topLeftCell="A7" activePane="bottomLeft" state="frozen"/>
      <selection pane="bottomLeft" activeCell="D23" sqref="D23"/>
    </sheetView>
  </sheetViews>
  <sheetFormatPr defaultRowHeight="13.8"/>
  <cols>
    <col min="1" max="1" width="12.296875" style="39" customWidth="1"/>
    <col min="2" max="2" width="37.5" customWidth="1"/>
    <col min="3" max="3" width="20.796875" customWidth="1"/>
    <col min="4" max="5" width="17.5" style="27" customWidth="1"/>
    <col min="6" max="6" width="13.296875" style="29" customWidth="1"/>
    <col min="7" max="8" width="18.296875" style="27" customWidth="1"/>
    <col min="9" max="12" width="17" customWidth="1"/>
    <col min="13" max="13" width="22" customWidth="1"/>
    <col min="14" max="16" width="13" customWidth="1"/>
  </cols>
  <sheetData>
    <row r="1" spans="1:16" ht="22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4.049999999999997" customHeight="1">
      <c r="A2" s="20"/>
      <c r="B2" s="20" t="s">
        <v>82</v>
      </c>
      <c r="C2" s="20"/>
      <c r="D2" s="20"/>
      <c r="E2" s="20"/>
      <c r="F2" s="20"/>
      <c r="G2" s="20"/>
      <c r="H2" s="20"/>
      <c r="I2" s="1"/>
      <c r="J2" s="23" t="s">
        <v>88</v>
      </c>
      <c r="K2" s="1"/>
      <c r="L2" s="23" t="s">
        <v>280</v>
      </c>
      <c r="M2" s="1"/>
      <c r="N2" s="1"/>
      <c r="O2" s="1"/>
      <c r="P2" s="1"/>
    </row>
    <row r="3" spans="1:16" ht="22.9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2.95" customHeight="1">
      <c r="A4" s="1"/>
      <c r="B4" s="3" t="s">
        <v>83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.95" customHeight="1">
      <c r="A5" s="1"/>
      <c r="B5" s="3" t="s">
        <v>84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1.95" customHeight="1">
      <c r="A6" s="25" t="s">
        <v>3</v>
      </c>
      <c r="B6" s="25" t="s">
        <v>2</v>
      </c>
      <c r="C6" s="25" t="s">
        <v>4</v>
      </c>
      <c r="D6" s="25" t="s">
        <v>5</v>
      </c>
      <c r="E6" s="25" t="s">
        <v>6</v>
      </c>
      <c r="F6" s="25" t="s">
        <v>7</v>
      </c>
      <c r="G6" s="25" t="s">
        <v>8</v>
      </c>
      <c r="H6" s="25" t="s">
        <v>9</v>
      </c>
      <c r="J6" t="s">
        <v>89</v>
      </c>
    </row>
    <row r="7" spans="1:16" ht="27" customHeight="1">
      <c r="A7" s="38" t="s">
        <v>14</v>
      </c>
      <c r="B7" s="22" t="s">
        <v>15</v>
      </c>
      <c r="C7" s="21" t="s">
        <v>16</v>
      </c>
      <c r="D7" s="26">
        <v>185000</v>
      </c>
      <c r="E7" s="26">
        <v>151700</v>
      </c>
      <c r="F7" s="28">
        <v>0.71</v>
      </c>
      <c r="G7" s="26">
        <v>18500</v>
      </c>
      <c r="H7" s="26">
        <v>40000</v>
      </c>
    </row>
    <row r="8" spans="1:16" ht="27" customHeight="1">
      <c r="A8" s="38" t="s">
        <v>17</v>
      </c>
      <c r="B8" s="22" t="s">
        <v>18</v>
      </c>
      <c r="C8" s="21" t="s">
        <v>19</v>
      </c>
      <c r="D8" s="26">
        <v>92000</v>
      </c>
      <c r="E8" s="26">
        <v>71760</v>
      </c>
      <c r="F8" s="28">
        <v>0.68</v>
      </c>
      <c r="G8" s="26">
        <v>9600</v>
      </c>
      <c r="H8" s="26">
        <v>18000</v>
      </c>
      <c r="J8" t="s">
        <v>90</v>
      </c>
    </row>
    <row r="9" spans="1:16" ht="27" customHeight="1">
      <c r="A9" s="38" t="s">
        <v>20</v>
      </c>
      <c r="B9" s="22" t="s">
        <v>21</v>
      </c>
      <c r="C9" s="21" t="s">
        <v>16</v>
      </c>
      <c r="D9" s="26">
        <v>240000</v>
      </c>
      <c r="E9" s="26">
        <v>201600</v>
      </c>
      <c r="F9" s="28">
        <v>0.45</v>
      </c>
      <c r="G9" s="26">
        <v>45000</v>
      </c>
      <c r="H9" s="26">
        <v>80000</v>
      </c>
      <c r="J9" t="s">
        <v>91</v>
      </c>
    </row>
    <row r="10" spans="1:16" ht="27" customHeight="1">
      <c r="A10" s="38" t="s">
        <v>22</v>
      </c>
      <c r="B10" s="22" t="s">
        <v>23</v>
      </c>
      <c r="C10" s="21" t="s">
        <v>24</v>
      </c>
      <c r="D10" s="26">
        <v>76000</v>
      </c>
      <c r="E10" s="26">
        <v>60800</v>
      </c>
      <c r="F10" s="28">
        <v>0.82</v>
      </c>
      <c r="G10" s="26">
        <v>5000</v>
      </c>
      <c r="H10" s="26">
        <v>6000</v>
      </c>
      <c r="J10" t="s">
        <v>92</v>
      </c>
    </row>
    <row r="11" spans="1:16" ht="27" customHeight="1">
      <c r="A11" s="38" t="s">
        <v>25</v>
      </c>
      <c r="B11" s="22" t="s">
        <v>26</v>
      </c>
      <c r="C11" s="21" t="s">
        <v>19</v>
      </c>
      <c r="D11" s="26">
        <v>310000</v>
      </c>
      <c r="E11" s="26">
        <v>235600</v>
      </c>
      <c r="F11" s="28">
        <v>0.38</v>
      </c>
      <c r="G11" s="26">
        <v>58000</v>
      </c>
      <c r="H11" s="26">
        <v>105000</v>
      </c>
      <c r="J11" t="s">
        <v>93</v>
      </c>
    </row>
    <row r="12" spans="1:16" ht="31.95" customHeight="1">
      <c r="J12" t="s">
        <v>94</v>
      </c>
    </row>
    <row r="13" spans="1:16" ht="31.95" customHeight="1"/>
    <row r="14" spans="1:16" ht="31.95" customHeight="1">
      <c r="J14" t="s">
        <v>95</v>
      </c>
    </row>
    <row r="15" spans="1:16" ht="31.95" customHeight="1">
      <c r="J15" t="s">
        <v>96</v>
      </c>
    </row>
    <row r="16" spans="1:16" ht="31.95" customHeight="1"/>
    <row r="17" spans="1:16" ht="31.95" customHeight="1">
      <c r="J17" t="s">
        <v>97</v>
      </c>
    </row>
    <row r="18" spans="1:16" ht="31.95" customHeight="1">
      <c r="J18" t="s">
        <v>180</v>
      </c>
    </row>
    <row r="19" spans="1:16" ht="31.95" customHeight="1">
      <c r="J19" t="s">
        <v>163</v>
      </c>
    </row>
    <row r="20" spans="1:16" ht="31.95" customHeight="1"/>
    <row r="21" spans="1:16" ht="31.95" customHeight="1"/>
    <row r="22" spans="1:16" ht="31.95" customHeight="1"/>
    <row r="23" spans="1:16" ht="31.95" customHeight="1"/>
    <row r="24" spans="1:16" ht="31.95" customHeight="1"/>
    <row r="25" spans="1:16" ht="31.95" customHeight="1"/>
    <row r="26" spans="1:16" ht="31.95" customHeight="1"/>
    <row r="27" spans="1:16" ht="22.95" customHeight="1">
      <c r="A27" s="40"/>
      <c r="B27" s="1"/>
      <c r="C27" s="1"/>
      <c r="D27" s="14"/>
      <c r="E27" s="14"/>
      <c r="F27" s="15"/>
      <c r="G27" s="14"/>
      <c r="H27" s="14"/>
      <c r="I27" s="1"/>
      <c r="J27" s="1"/>
      <c r="K27" s="1"/>
      <c r="L27" s="1"/>
      <c r="M27" s="1"/>
      <c r="N27" s="1"/>
      <c r="O27" s="1"/>
      <c r="P27" s="1"/>
    </row>
    <row r="28" spans="1:16" ht="22.95" customHeight="1">
      <c r="A28" s="40"/>
      <c r="B28" s="1"/>
      <c r="C28" s="1"/>
      <c r="D28" s="14"/>
      <c r="E28" s="14"/>
      <c r="F28" s="15"/>
      <c r="G28" s="14"/>
      <c r="H28" s="14"/>
      <c r="I28" s="1"/>
      <c r="J28" s="1"/>
      <c r="K28" s="1"/>
      <c r="L28" s="1"/>
      <c r="M28" s="1"/>
      <c r="N28" s="1"/>
      <c r="O28" s="1"/>
      <c r="P28" s="1"/>
    </row>
    <row r="29" spans="1:16" ht="22.95" customHeight="1">
      <c r="A29" s="40"/>
      <c r="B29" s="1"/>
      <c r="C29" s="1"/>
      <c r="D29" s="14"/>
      <c r="E29" s="14"/>
      <c r="F29" s="15"/>
      <c r="G29" s="14"/>
      <c r="H29" s="14"/>
      <c r="I29" s="1"/>
      <c r="J29" s="1"/>
      <c r="K29" s="1"/>
      <c r="L29" s="1"/>
      <c r="M29" s="1"/>
      <c r="N29" s="1"/>
      <c r="O29" s="1"/>
      <c r="P29" s="1"/>
    </row>
    <row r="30" spans="1:16" ht="22.95" customHeight="1">
      <c r="A30" s="40"/>
      <c r="B30" s="1"/>
      <c r="C30" s="1"/>
      <c r="D30" s="14"/>
      <c r="E30" s="14"/>
      <c r="F30" s="15"/>
      <c r="G30" s="14"/>
      <c r="H30" s="14"/>
      <c r="I30" s="1"/>
      <c r="J30" s="1"/>
      <c r="K30" s="1"/>
      <c r="L30" s="1"/>
      <c r="M30" s="1"/>
      <c r="N30" s="1"/>
      <c r="O30" s="1"/>
      <c r="P30" s="1"/>
    </row>
    <row r="31" spans="1:16" ht="22.95" customHeight="1">
      <c r="A31" s="40"/>
      <c r="B31" s="1"/>
      <c r="C31" s="1"/>
      <c r="D31" s="14"/>
      <c r="E31" s="14"/>
      <c r="F31" s="15"/>
      <c r="G31" s="14"/>
      <c r="H31" s="14"/>
      <c r="I31" s="1"/>
      <c r="J31" s="1"/>
      <c r="K31" s="1"/>
      <c r="L31" s="1"/>
      <c r="M31" s="1"/>
      <c r="N31" s="1"/>
      <c r="O31" s="1"/>
      <c r="P31" s="1"/>
    </row>
    <row r="32" spans="1:16" ht="22.95" customHeight="1">
      <c r="A32" s="40"/>
      <c r="B32" s="1"/>
      <c r="C32" s="1"/>
      <c r="D32" s="14"/>
      <c r="E32" s="14"/>
      <c r="F32" s="15"/>
      <c r="G32" s="14"/>
      <c r="H32" s="14"/>
      <c r="I32" s="1"/>
      <c r="J32" s="1"/>
      <c r="K32" s="1"/>
      <c r="L32" s="1"/>
      <c r="M32" s="1"/>
      <c r="N32" s="1"/>
      <c r="O32" s="1"/>
      <c r="P32" s="1"/>
    </row>
    <row r="33" spans="1:16" ht="22.95" customHeight="1">
      <c r="A33" s="40"/>
      <c r="B33" s="1"/>
      <c r="C33" s="1"/>
      <c r="D33" s="14"/>
      <c r="E33" s="14"/>
      <c r="F33" s="15"/>
      <c r="G33" s="14"/>
      <c r="H33" s="14"/>
      <c r="I33" s="1"/>
      <c r="J33" s="1"/>
      <c r="K33" s="1"/>
      <c r="L33" s="1"/>
      <c r="M33" s="1"/>
      <c r="N33" s="1"/>
      <c r="O33" s="1"/>
      <c r="P33" s="1"/>
    </row>
    <row r="34" spans="1:16" ht="22.95" customHeight="1">
      <c r="A34" s="40"/>
      <c r="B34" s="1"/>
      <c r="C34" s="1"/>
      <c r="D34" s="14"/>
      <c r="E34" s="14"/>
      <c r="F34" s="15"/>
      <c r="G34" s="14"/>
      <c r="H34" s="14"/>
      <c r="I34" s="1"/>
      <c r="J34" s="1"/>
      <c r="K34" s="1"/>
      <c r="L34" s="1"/>
      <c r="M34" s="1"/>
      <c r="N34" s="1"/>
      <c r="O34" s="1"/>
      <c r="P34" s="1"/>
    </row>
    <row r="35" spans="1:16" ht="22.95" customHeight="1">
      <c r="A35" s="40"/>
      <c r="B35" s="1"/>
      <c r="C35" s="1"/>
      <c r="D35" s="14"/>
      <c r="E35" s="14"/>
      <c r="F35" s="15"/>
      <c r="G35" s="14"/>
      <c r="H35" s="14"/>
      <c r="I35" s="1"/>
      <c r="J35" s="1"/>
      <c r="K35" s="1"/>
      <c r="L35" s="1"/>
      <c r="M35" s="1"/>
      <c r="N35" s="1"/>
      <c r="O35" s="1"/>
      <c r="P35" s="1"/>
    </row>
    <row r="36" spans="1:16" ht="22.95" customHeight="1">
      <c r="A36" s="40"/>
      <c r="B36" s="1"/>
      <c r="C36" s="1"/>
      <c r="D36" s="14"/>
      <c r="E36" s="14"/>
      <c r="F36" s="15"/>
      <c r="G36" s="14"/>
      <c r="H36" s="14"/>
      <c r="I36" s="1"/>
      <c r="J36" s="1"/>
      <c r="K36" s="1"/>
      <c r="L36" s="1"/>
      <c r="M36" s="1"/>
      <c r="N36" s="1"/>
      <c r="O36" s="1"/>
      <c r="P36" s="1"/>
    </row>
    <row r="37" spans="1:16" ht="22.95" customHeight="1">
      <c r="A37" s="40"/>
      <c r="B37" s="1"/>
      <c r="C37" s="1"/>
      <c r="D37" s="14"/>
      <c r="E37" s="14"/>
      <c r="F37" s="15"/>
      <c r="G37" s="14"/>
      <c r="H37" s="14"/>
      <c r="I37" s="1"/>
      <c r="J37" s="1"/>
      <c r="K37" s="1"/>
      <c r="L37" s="1"/>
      <c r="M37" s="1"/>
      <c r="N37" s="1"/>
      <c r="O37" s="1"/>
      <c r="P37" s="1"/>
    </row>
    <row r="38" spans="1:16" ht="22.95" customHeight="1">
      <c r="A38" s="40"/>
      <c r="B38" s="1"/>
      <c r="C38" s="1"/>
      <c r="D38" s="14"/>
      <c r="E38" s="14"/>
      <c r="F38" s="15"/>
      <c r="G38" s="14"/>
      <c r="H38" s="14"/>
      <c r="I38" s="1"/>
      <c r="J38" s="1"/>
      <c r="K38" s="1"/>
      <c r="L38" s="1"/>
      <c r="M38" s="1"/>
      <c r="N38" s="1"/>
      <c r="O38" s="1"/>
      <c r="P38" s="1"/>
    </row>
  </sheetData>
  <conditionalFormatting sqref="A7:H11">
    <cfRule type="expression" dxfId="11" priority="1">
      <formula>$I7="REVIEW"</formula>
    </cfRule>
  </conditionalFormatting>
  <dataValidations count="5">
    <dataValidation type="custom" allowBlank="1" showInputMessage="1" showErrorMessage="1" errorTitle="Check this input" error="Enter a unique project ID without outer spaces." sqref="A7:A1048576" xr:uid="{15B9DB57-4493-474A-B7D1-B5FA416AE0D2}">
      <formula1>AND(LEN(TRIM(A7&amp;""))&gt;0,A7&amp;""=TRIM(A7&amp;""),COUNTIF(hdProjectIDs,A7)=1,ISERROR(SEARCH("~*",A7&amp;"")),ISERROR(SEARCH("~?",A7&amp;"")),ISERROR(SEARCH("~~",A7&amp;"")))</formula1>
    </dataValidation>
    <dataValidation type="custom" showInputMessage="1" showErrorMessage="1" errorTitle="Check this input" error="This text field is required." sqref="B7:C1048576" xr:uid="{9688CD29-BB49-4542-AAC6-90D48AEFDE20}">
      <formula1>LEN(TRIM(B7&amp;""))&gt;0</formula1>
    </dataValidation>
    <dataValidation type="decimal" operator="greaterThan" showInputMessage="1" showErrorMessage="1" errorTitle="Check this input" error="Contract value must be a number greater than zero." sqref="D7:D1048576" xr:uid="{478BCB08-7FCF-405D-A7EC-2B1FDC77A445}">
      <formula1>0</formula1>
    </dataValidation>
    <dataValidation type="decimal" operator="greaterThanOrEqual" showInputMessage="1" showErrorMessage="1" errorTitle="Check this input" error="Enter a non-negative amount. Explicitly enter 0 if none; do not leave blank." sqref="E7:E1048576 G7:H1048576" xr:uid="{7EC04FA8-569C-4827-9B37-7923521D9886}">
      <formula1>0</formula1>
    </dataValidation>
    <dataValidation type="decimal" showInputMessage="1" showErrorMessage="1" errorTitle="Check this input" error="Progress must be between 0% and 100%." sqref="F7:F1048576" xr:uid="{50E65CCC-1C8E-4C56-BABE-FFDAC62E5AAF}">
      <formula1>0</formula1>
      <formula2>1</formula2>
    </dataValidation>
  </dataValidations>
  <hyperlinks>
    <hyperlink ref="J2" location="'HODASSA Review'!B2" display="Back to dashboard" xr:uid="{AADE873F-03B2-483F-BB16-D53E1B9BFEAC}"/>
    <hyperlink ref="L2" location="'HODASSA Calculations'!M18" display="Review project issues" xr:uid="{F71F58D6-31EF-48F6-B4B3-8FDA54068140}"/>
  </hyperlinks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0E6E-1798-4135-B1C3-B5752C592819}">
  <sheetPr>
    <tabColor rgb="FF007F82"/>
  </sheetPr>
  <dimension ref="A1:J108"/>
  <sheetViews>
    <sheetView showGridLines="0" workbookViewId="0">
      <pane ySplit="6" topLeftCell="A7" activePane="bottomLeft" state="frozen"/>
      <selection pane="bottomLeft" activeCell="D23" sqref="D23"/>
    </sheetView>
  </sheetViews>
  <sheetFormatPr defaultRowHeight="13.8"/>
  <cols>
    <col min="1" max="1" width="14.19921875" customWidth="1"/>
    <col min="2" max="2" width="16.69921875" style="4" customWidth="1"/>
    <col min="3" max="3" width="12.5" style="39" customWidth="1"/>
    <col min="4" max="4" width="36.69921875" customWidth="1"/>
    <col min="5" max="5" width="16.69921875" customWidth="1"/>
    <col min="6" max="6" width="16.69921875" style="33" customWidth="1"/>
    <col min="7" max="8" width="16" customWidth="1"/>
    <col min="9" max="9" width="13" customWidth="1"/>
  </cols>
  <sheetData>
    <row r="1" spans="1:10" ht="22.95" customHeight="1">
      <c r="A1" s="1"/>
      <c r="B1" s="1"/>
      <c r="C1" s="1"/>
      <c r="D1" s="1"/>
      <c r="E1" s="1"/>
      <c r="F1" s="1"/>
      <c r="G1" s="1"/>
      <c r="H1" s="1"/>
      <c r="I1" s="1"/>
    </row>
    <row r="2" spans="1:10" ht="34.049999999999997" customHeight="1">
      <c r="A2" s="20"/>
      <c r="B2" s="20" t="s">
        <v>85</v>
      </c>
      <c r="C2" s="20"/>
      <c r="D2" s="20"/>
      <c r="E2" s="20"/>
      <c r="F2" s="20"/>
      <c r="G2" s="1"/>
      <c r="H2" s="23" t="s">
        <v>88</v>
      </c>
      <c r="I2" s="1"/>
      <c r="J2" s="11" t="s">
        <v>281</v>
      </c>
    </row>
    <row r="3" spans="1:10" ht="22.95" customHeight="1">
      <c r="A3" s="1"/>
      <c r="B3" s="2"/>
      <c r="C3" s="2"/>
      <c r="D3" s="2"/>
      <c r="E3" s="2"/>
      <c r="F3" s="2"/>
      <c r="G3" s="2"/>
      <c r="H3" s="2"/>
      <c r="I3" s="2"/>
    </row>
    <row r="4" spans="1:10" ht="22.95" customHeight="1">
      <c r="A4" s="1"/>
      <c r="B4" s="3" t="s">
        <v>83</v>
      </c>
      <c r="C4" s="1"/>
      <c r="D4" s="1"/>
      <c r="E4" s="1"/>
      <c r="F4" s="1"/>
      <c r="G4" s="1"/>
      <c r="H4" s="1"/>
      <c r="I4" s="1"/>
    </row>
    <row r="5" spans="1:10" ht="22.95" customHeight="1">
      <c r="A5" s="1"/>
      <c r="B5" s="24" t="s">
        <v>86</v>
      </c>
      <c r="C5" s="1"/>
      <c r="D5" s="1"/>
      <c r="E5" s="1"/>
      <c r="F5" s="1"/>
      <c r="G5" s="1"/>
      <c r="H5" s="1"/>
      <c r="I5" s="1"/>
    </row>
    <row r="6" spans="1:10" ht="31.95" customHeight="1">
      <c r="A6" s="25" t="s">
        <v>27</v>
      </c>
      <c r="B6" s="25" t="s">
        <v>28</v>
      </c>
      <c r="C6" s="25" t="s">
        <v>3</v>
      </c>
      <c r="D6" s="25" t="s">
        <v>29</v>
      </c>
      <c r="E6" s="25" t="s">
        <v>30</v>
      </c>
      <c r="F6" s="25" t="s">
        <v>31</v>
      </c>
      <c r="H6" t="s">
        <v>98</v>
      </c>
    </row>
    <row r="7" spans="1:10" ht="27" customHeight="1">
      <c r="A7" s="21" t="s">
        <v>33</v>
      </c>
      <c r="B7" s="30">
        <v>46244</v>
      </c>
      <c r="C7" s="38" t="s">
        <v>14</v>
      </c>
      <c r="D7" s="21" t="s">
        <v>34</v>
      </c>
      <c r="E7" s="21">
        <v>1</v>
      </c>
      <c r="F7" s="32">
        <v>40000</v>
      </c>
    </row>
    <row r="8" spans="1:10" ht="27" customHeight="1">
      <c r="A8" s="21" t="s">
        <v>35</v>
      </c>
      <c r="B8" s="30">
        <v>46270</v>
      </c>
      <c r="C8" s="38" t="s">
        <v>14</v>
      </c>
      <c r="D8" s="21" t="s">
        <v>36</v>
      </c>
      <c r="E8" s="21">
        <v>500</v>
      </c>
      <c r="F8" s="32">
        <v>35</v>
      </c>
      <c r="H8" t="s">
        <v>99</v>
      </c>
    </row>
    <row r="9" spans="1:10" ht="27" customHeight="1">
      <c r="A9" s="21" t="s">
        <v>37</v>
      </c>
      <c r="B9" s="30">
        <v>46280</v>
      </c>
      <c r="C9" s="38" t="s">
        <v>14</v>
      </c>
      <c r="D9" s="21" t="s">
        <v>38</v>
      </c>
      <c r="E9" s="21">
        <v>1</v>
      </c>
      <c r="F9" s="32">
        <v>15000</v>
      </c>
      <c r="H9" t="s">
        <v>100</v>
      </c>
    </row>
    <row r="10" spans="1:10" ht="27" customHeight="1">
      <c r="A10" s="21" t="s">
        <v>39</v>
      </c>
      <c r="B10" s="30">
        <v>46244</v>
      </c>
      <c r="C10" s="38" t="s">
        <v>17</v>
      </c>
      <c r="D10" s="21" t="s">
        <v>34</v>
      </c>
      <c r="E10" s="21">
        <v>1</v>
      </c>
      <c r="F10" s="32">
        <v>18000</v>
      </c>
      <c r="H10" t="s">
        <v>101</v>
      </c>
    </row>
    <row r="11" spans="1:10" ht="27" customHeight="1">
      <c r="A11" s="21" t="s">
        <v>40</v>
      </c>
      <c r="B11" s="30">
        <v>46270</v>
      </c>
      <c r="C11" s="38" t="s">
        <v>17</v>
      </c>
      <c r="D11" s="21" t="s">
        <v>36</v>
      </c>
      <c r="E11" s="21">
        <v>580</v>
      </c>
      <c r="F11" s="32">
        <v>35</v>
      </c>
      <c r="H11" t="s">
        <v>102</v>
      </c>
    </row>
    <row r="12" spans="1:10" ht="27" customHeight="1">
      <c r="A12" s="21" t="s">
        <v>41</v>
      </c>
      <c r="B12" s="30">
        <v>46280</v>
      </c>
      <c r="C12" s="38" t="s">
        <v>17</v>
      </c>
      <c r="D12" s="21" t="s">
        <v>38</v>
      </c>
      <c r="E12" s="21">
        <v>1</v>
      </c>
      <c r="F12" s="32">
        <v>18000</v>
      </c>
      <c r="H12" t="s">
        <v>181</v>
      </c>
    </row>
    <row r="13" spans="1:10" ht="27" customHeight="1">
      <c r="A13" s="21" t="s">
        <v>42</v>
      </c>
      <c r="B13" s="30">
        <v>46244</v>
      </c>
      <c r="C13" s="38" t="s">
        <v>20</v>
      </c>
      <c r="D13" s="21" t="s">
        <v>34</v>
      </c>
      <c r="E13" s="21">
        <v>1</v>
      </c>
      <c r="F13" s="32">
        <v>44000</v>
      </c>
    </row>
    <row r="14" spans="1:10" ht="27" customHeight="1">
      <c r="A14" s="21" t="s">
        <v>43</v>
      </c>
      <c r="B14" s="30">
        <v>46270</v>
      </c>
      <c r="C14" s="38" t="s">
        <v>20</v>
      </c>
      <c r="D14" s="21" t="s">
        <v>36</v>
      </c>
      <c r="E14" s="21">
        <v>660</v>
      </c>
      <c r="F14" s="32">
        <v>35</v>
      </c>
      <c r="H14" t="s">
        <v>95</v>
      </c>
    </row>
    <row r="15" spans="1:10" ht="27" customHeight="1">
      <c r="A15" s="21" t="s">
        <v>44</v>
      </c>
      <c r="B15" s="30">
        <v>46280</v>
      </c>
      <c r="C15" s="38" t="s">
        <v>20</v>
      </c>
      <c r="D15" s="21" t="s">
        <v>38</v>
      </c>
      <c r="E15" s="21">
        <v>1</v>
      </c>
      <c r="F15" s="32">
        <v>21000</v>
      </c>
      <c r="H15" t="s">
        <v>103</v>
      </c>
    </row>
    <row r="16" spans="1:10" ht="27" customHeight="1">
      <c r="A16" s="21" t="s">
        <v>45</v>
      </c>
      <c r="B16" s="30">
        <v>46244</v>
      </c>
      <c r="C16" s="38" t="s">
        <v>22</v>
      </c>
      <c r="D16" s="21" t="s">
        <v>34</v>
      </c>
      <c r="E16" s="21">
        <v>1</v>
      </c>
      <c r="F16" s="32">
        <v>22000</v>
      </c>
    </row>
    <row r="17" spans="1:8" ht="27" customHeight="1">
      <c r="A17" s="21" t="s">
        <v>46</v>
      </c>
      <c r="B17" s="30">
        <v>46270</v>
      </c>
      <c r="C17" s="38" t="s">
        <v>22</v>
      </c>
      <c r="D17" s="21" t="s">
        <v>36</v>
      </c>
      <c r="E17" s="21">
        <v>740</v>
      </c>
      <c r="F17" s="32">
        <v>35</v>
      </c>
    </row>
    <row r="18" spans="1:8" ht="27" customHeight="1">
      <c r="A18" s="21" t="s">
        <v>47</v>
      </c>
      <c r="B18" s="30">
        <v>46280</v>
      </c>
      <c r="C18" s="38" t="s">
        <v>22</v>
      </c>
      <c r="D18" s="21" t="s">
        <v>38</v>
      </c>
      <c r="E18" s="21">
        <v>1</v>
      </c>
      <c r="F18" s="32">
        <v>24000</v>
      </c>
      <c r="H18" t="s">
        <v>104</v>
      </c>
    </row>
    <row r="19" spans="1:8" ht="27" customHeight="1">
      <c r="A19" s="21" t="s">
        <v>48</v>
      </c>
      <c r="B19" s="30">
        <v>46244</v>
      </c>
      <c r="C19" s="38" t="s">
        <v>25</v>
      </c>
      <c r="D19" s="21" t="s">
        <v>34</v>
      </c>
      <c r="E19" s="21">
        <v>1</v>
      </c>
      <c r="F19" s="32">
        <v>48000</v>
      </c>
      <c r="H19" t="s">
        <v>163</v>
      </c>
    </row>
    <row r="20" spans="1:8" ht="27" customHeight="1">
      <c r="A20" s="21" t="s">
        <v>49</v>
      </c>
      <c r="B20" s="30">
        <v>46270</v>
      </c>
      <c r="C20" s="38" t="s">
        <v>25</v>
      </c>
      <c r="D20" s="21" t="s">
        <v>36</v>
      </c>
      <c r="E20" s="21">
        <v>820</v>
      </c>
      <c r="F20" s="32">
        <v>35</v>
      </c>
    </row>
    <row r="21" spans="1:8" ht="27" customHeight="1">
      <c r="A21" s="21" t="s">
        <v>50</v>
      </c>
      <c r="B21" s="30">
        <v>46280</v>
      </c>
      <c r="C21" s="38" t="s">
        <v>25</v>
      </c>
      <c r="D21" s="21" t="s">
        <v>38</v>
      </c>
      <c r="E21" s="21">
        <v>1</v>
      </c>
      <c r="F21" s="32">
        <v>27000</v>
      </c>
    </row>
    <row r="22" spans="1:8" ht="22.95" customHeight="1"/>
    <row r="23" spans="1:8" ht="22.95" customHeight="1"/>
    <row r="24" spans="1:8" ht="22.95" customHeight="1"/>
    <row r="25" spans="1:8" ht="22.95" customHeight="1"/>
    <row r="26" spans="1:8" ht="22.95" customHeight="1"/>
    <row r="27" spans="1:8" ht="22.95" customHeight="1"/>
    <row r="28" spans="1:8" ht="22.95" customHeight="1"/>
    <row r="29" spans="1:8" ht="22.95" customHeight="1"/>
    <row r="30" spans="1:8" ht="22.95" customHeight="1"/>
    <row r="31" spans="1:8" ht="22.95" customHeight="1"/>
    <row r="32" spans="1:8" ht="22.95" customHeight="1"/>
    <row r="33" ht="22.95" customHeight="1"/>
    <row r="34" ht="22.95" customHeight="1"/>
    <row r="35" ht="22.95" customHeight="1"/>
    <row r="36" ht="22.95" customHeight="1"/>
    <row r="37" ht="22.95" customHeight="1"/>
    <row r="38" ht="22.95" customHeight="1"/>
    <row r="39" ht="22.95" customHeight="1"/>
    <row r="40" ht="22.95" customHeight="1"/>
    <row r="41" ht="22.95" customHeight="1"/>
    <row r="42" ht="22.95" customHeight="1"/>
    <row r="43" ht="22.95" customHeight="1"/>
    <row r="44" ht="22.95" customHeight="1"/>
    <row r="45" ht="22.95" customHeight="1"/>
    <row r="46" ht="22.95" customHeight="1"/>
    <row r="47" ht="22.95" customHeight="1"/>
    <row r="48" ht="22.95" customHeight="1"/>
    <row r="49" ht="22.95" customHeight="1"/>
    <row r="50" ht="22.95" customHeight="1"/>
    <row r="51" ht="22.95" customHeight="1"/>
    <row r="52" ht="22.95" customHeight="1"/>
    <row r="53" ht="22.95" customHeight="1"/>
    <row r="54" ht="22.95" customHeight="1"/>
    <row r="55" ht="22.95" customHeight="1"/>
    <row r="56" ht="22.95" customHeight="1"/>
    <row r="57" ht="22.95" customHeight="1"/>
    <row r="58" ht="22.95" customHeight="1"/>
    <row r="59" ht="22.95" customHeight="1"/>
    <row r="60" ht="22.95" customHeight="1"/>
    <row r="61" ht="22.95" customHeight="1"/>
    <row r="62" ht="22.95" customHeight="1"/>
    <row r="63" ht="22.95" customHeight="1"/>
    <row r="64" ht="22.95" customHeight="1"/>
    <row r="65" ht="22.95" customHeight="1"/>
    <row r="66" ht="22.95" customHeight="1"/>
    <row r="67" ht="22.95" customHeight="1"/>
    <row r="68" ht="22.95" customHeight="1"/>
    <row r="69" ht="22.95" customHeight="1"/>
    <row r="70" ht="22.95" customHeight="1"/>
    <row r="71" ht="22.95" customHeight="1"/>
    <row r="72" ht="22.95" customHeight="1"/>
    <row r="73" ht="22.95" customHeight="1"/>
    <row r="74" ht="22.95" customHeight="1"/>
    <row r="75" ht="22.95" customHeight="1"/>
    <row r="76" ht="22.95" customHeight="1"/>
    <row r="77" ht="22.95" customHeight="1"/>
    <row r="78" ht="22.95" customHeight="1"/>
    <row r="79" ht="22.95" customHeight="1"/>
    <row r="80" ht="22.95" customHeight="1"/>
    <row r="81" ht="22.95" customHeight="1"/>
    <row r="82" ht="22.95" customHeight="1"/>
    <row r="83" ht="22.95" customHeight="1"/>
    <row r="84" ht="22.95" customHeight="1"/>
    <row r="85" ht="22.95" customHeight="1"/>
    <row r="86" ht="22.95" customHeight="1"/>
    <row r="87" ht="22.95" customHeight="1"/>
    <row r="88" ht="22.95" customHeight="1"/>
    <row r="89" ht="22.95" customHeight="1"/>
    <row r="90" ht="22.95" customHeight="1"/>
    <row r="91" ht="22.95" customHeight="1"/>
    <row r="92" ht="22.95" customHeight="1"/>
    <row r="93" ht="22.95" customHeight="1"/>
    <row r="94" ht="22.95" customHeight="1"/>
    <row r="95" ht="22.95" customHeight="1"/>
    <row r="96" ht="22.95" customHeight="1"/>
    <row r="97" spans="1:9" ht="22.95" customHeight="1"/>
    <row r="98" spans="1:9" ht="22.95" customHeight="1"/>
    <row r="99" spans="1:9" ht="22.95" customHeight="1"/>
    <row r="100" spans="1:9" ht="22.95" customHeight="1"/>
    <row r="101" spans="1:9" ht="22.95" customHeight="1"/>
    <row r="102" spans="1:9" ht="22.95" customHeight="1"/>
    <row r="103" spans="1:9" ht="22.95" customHeight="1"/>
    <row r="104" spans="1:9" ht="22.95" customHeight="1"/>
    <row r="105" spans="1:9" ht="22.95" customHeight="1"/>
    <row r="106" spans="1:9" ht="22.95" customHeight="1"/>
    <row r="107" spans="1:9" ht="22.95" customHeight="1">
      <c r="A107" s="1"/>
      <c r="B107" s="31"/>
      <c r="C107" s="40"/>
      <c r="D107" s="1"/>
      <c r="E107" s="1"/>
      <c r="F107" s="34"/>
      <c r="G107" s="1"/>
      <c r="H107" s="1"/>
      <c r="I107" s="1"/>
    </row>
    <row r="108" spans="1:9" ht="22.95" customHeight="1">
      <c r="A108" s="1"/>
      <c r="B108" s="31"/>
      <c r="C108" s="40"/>
      <c r="D108" s="1"/>
      <c r="E108" s="1"/>
      <c r="F108" s="34"/>
      <c r="G108" s="1"/>
      <c r="H108" s="1"/>
      <c r="I108" s="1"/>
    </row>
  </sheetData>
  <conditionalFormatting sqref="A7:F21">
    <cfRule type="expression" dxfId="10" priority="1">
      <formula>$H7="REVIEW"</formula>
    </cfRule>
  </conditionalFormatting>
  <dataValidations count="6">
    <dataValidation type="custom" allowBlank="1" showInputMessage="1" showErrorMessage="1" errorTitle="Check this input" error="Cost ID is required and must be unique." sqref="A7:A1048576" xr:uid="{5F2AE30F-89BB-4E51-A839-8B260587DD21}">
      <formula1>AND(LEN(TRIM(A7&amp;""))&gt;0,A7&amp;""=TRIM(A7&amp;""),COUNTIF(hdCostIDs,A7)=1,ISERROR(SEARCH("~*",A7&amp;"")),ISERROR(SEARCH("~?",A7&amp;"")),ISERROR(SEARCH("~~",A7&amp;"")))</formula1>
    </dataValidation>
    <dataValidation type="custom" showInputMessage="1" showErrorMessage="1" errorTitle="Check this input" error="Enter a valid whole calendar date. Dates after the report date are allowed." sqref="B7:B1048576" xr:uid="{FB3FD49A-D689-4846-9D3E-84F3794154A3}">
      <formula1>AND(ISNUMBER(B7),B7=INT(B7),B7&gt;=1,B7&lt;=DATE(9999,12,31))</formula1>
    </dataValidation>
    <dataValidation type="list" showInputMessage="1" showErrorMessage="1" errorTitle="Check this input" error="Choose an existing project ID. Add new projects first." sqref="C7:C1048576" xr:uid="{BFD517C5-C100-4135-844F-F9FBB053C712}">
      <formula1>hdProjectIDs</formula1>
    </dataValidation>
    <dataValidation type="custom" showInputMessage="1" showErrorMessage="1" errorTitle="Check this input" error="A description is required." sqref="D7:D1048576" xr:uid="{C681A2CF-6C56-4E86-B505-32ECC6E223B3}">
      <formula1>LEN(TRIM(D7&amp;""))&gt;0</formula1>
    </dataValidation>
    <dataValidation type="decimal" operator="greaterThan" showInputMessage="1" showErrorMessage="1" errorTitle="Check this input" error="Quantity must be greater than zero." sqref="E7:E1048576" xr:uid="{B8846A4E-2A5D-447C-BE94-02009E00DB39}">
      <formula1>0</formula1>
    </dataValidation>
    <dataValidation type="decimal" operator="greaterThanOrEqual" showInputMessage="1" showErrorMessage="1" errorTitle="Check this input" error="Rate must be a non-negative number." sqref="F7:F1048576" xr:uid="{5980DCA1-D40D-4961-A15A-12963373E1B2}">
      <formula1>0</formula1>
    </dataValidation>
  </dataValidations>
  <hyperlinks>
    <hyperlink ref="H2" location="'HODASSA Review'!B2" display="Back to dashboard" xr:uid="{9C46C4E6-E66F-456F-B9C3-A2341587B5D2}"/>
    <hyperlink ref="J2" location="'HODASSA Calculations'!A18" display="Review cost issues" xr:uid="{C292286C-778B-4F66-A4B8-130BD0CC921B}"/>
  </hyperlinks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E6D4C-2E5A-40D8-A0F1-234B1E2A4836}">
  <sheetPr>
    <tabColor rgb="FF007F82"/>
  </sheetPr>
  <dimension ref="A1:AK200"/>
  <sheetViews>
    <sheetView showGridLines="0" workbookViewId="0">
      <selection activeCell="D40" sqref="D40"/>
    </sheetView>
  </sheetViews>
  <sheetFormatPr defaultRowHeight="13.8"/>
  <cols>
    <col min="1" max="1" width="35" customWidth="1"/>
    <col min="2" max="2" width="16.296875" style="4" customWidth="1"/>
    <col min="3" max="3" width="16.296875" customWidth="1"/>
    <col min="4" max="4" width="36.69921875" customWidth="1"/>
    <col min="5" max="5" width="16.69921875" customWidth="1"/>
    <col min="6" max="7" width="16.69921875" style="33" customWidth="1"/>
    <col min="8" max="8" width="56.69921875" style="35" customWidth="1"/>
    <col min="9" max="10" width="18.296875" customWidth="1"/>
    <col min="11" max="11" width="16.69921875" style="27" customWidth="1"/>
    <col min="12" max="12" width="16.69921875" customWidth="1"/>
    <col min="13" max="13" width="13.296875" customWidth="1"/>
    <col min="14" max="14" width="37.5" customWidth="1"/>
    <col min="15" max="15" width="17.5" customWidth="1"/>
    <col min="16" max="17" width="17.5" style="27" customWidth="1"/>
    <col min="18" max="18" width="17.5" style="29" customWidth="1"/>
    <col min="19" max="20" width="17.5" style="27" customWidth="1"/>
    <col min="21" max="21" width="56.69921875" style="35" customWidth="1"/>
    <col min="22" max="22" width="18.296875" customWidth="1"/>
    <col min="23" max="26" width="18.296875" style="27" customWidth="1"/>
    <col min="27" max="27" width="18.296875" style="29" customWidth="1"/>
    <col min="28" max="29" width="18.296875" customWidth="1"/>
    <col min="30" max="30" width="63.296875" style="35" customWidth="1"/>
    <col min="32" max="37" width="0" hidden="1" customWidth="1"/>
  </cols>
  <sheetData>
    <row r="1" spans="1:36">
      <c r="B1"/>
      <c r="F1"/>
      <c r="G1"/>
      <c r="H1"/>
      <c r="K1"/>
      <c r="P1"/>
      <c r="Q1"/>
      <c r="R1"/>
      <c r="S1"/>
      <c r="T1"/>
      <c r="U1"/>
      <c r="W1"/>
      <c r="X1"/>
      <c r="Y1"/>
      <c r="Z1"/>
      <c r="AA1"/>
      <c r="AD1"/>
    </row>
    <row r="2" spans="1:36" ht="34.049999999999997" customHeight="1">
      <c r="A2" s="7" t="s">
        <v>168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36" t="s">
        <v>115</v>
      </c>
      <c r="N2" s="36"/>
      <c r="O2" s="36"/>
      <c r="P2" s="36"/>
      <c r="Q2" s="36"/>
      <c r="R2" s="36"/>
      <c r="S2" s="36"/>
      <c r="T2" s="36"/>
      <c r="U2" s="36"/>
      <c r="W2"/>
      <c r="X2"/>
      <c r="Y2"/>
      <c r="Z2"/>
      <c r="AA2"/>
      <c r="AD2"/>
    </row>
    <row r="3" spans="1:36">
      <c r="A3" t="s">
        <v>169</v>
      </c>
      <c r="B3"/>
      <c r="F3"/>
      <c r="G3"/>
      <c r="H3"/>
      <c r="K3"/>
      <c r="P3"/>
      <c r="Q3"/>
      <c r="R3"/>
      <c r="S3"/>
      <c r="T3"/>
      <c r="U3"/>
      <c r="W3"/>
      <c r="X3"/>
      <c r="Y3"/>
      <c r="Z3"/>
      <c r="AA3"/>
      <c r="AD3"/>
    </row>
    <row r="4" spans="1:36" ht="36" customHeight="1">
      <c r="A4" t="str" cm="1">
        <f t="array" ref="A4">"As of "&amp;IF(hdDateValid,TEXT(hdReportDate,"dd mmm yyyy"),"INVALID DATE")</f>
        <v>As of 30 Sep 2026</v>
      </c>
      <c r="B4"/>
      <c r="D4" s="11" t="s">
        <v>88</v>
      </c>
      <c r="F4" s="12" t="s">
        <v>105</v>
      </c>
      <c r="G4"/>
      <c r="H4" s="12" t="s">
        <v>87</v>
      </c>
      <c r="J4" s="12" t="s">
        <v>106</v>
      </c>
      <c r="K4"/>
      <c r="L4" s="11" t="s">
        <v>127</v>
      </c>
      <c r="M4" s="13" t="s">
        <v>116</v>
      </c>
      <c r="N4" s="13"/>
      <c r="O4" s="13"/>
      <c r="P4" s="13"/>
      <c r="Q4" s="13"/>
      <c r="R4" s="13"/>
      <c r="S4" s="13"/>
      <c r="T4" s="13"/>
      <c r="U4" s="13"/>
      <c r="W4"/>
      <c r="X4"/>
      <c r="Y4"/>
      <c r="Z4"/>
      <c r="AA4"/>
      <c r="AD4"/>
    </row>
    <row r="5" spans="1:36" ht="36" customHeight="1">
      <c r="B5"/>
      <c r="F5"/>
      <c r="G5"/>
      <c r="H5"/>
      <c r="K5"/>
      <c r="P5"/>
      <c r="Q5"/>
      <c r="R5"/>
      <c r="S5"/>
      <c r="T5"/>
      <c r="U5"/>
      <c r="W5"/>
      <c r="X5"/>
      <c r="Y5"/>
      <c r="Z5"/>
      <c r="AA5"/>
      <c r="AD5"/>
    </row>
    <row r="6" spans="1:36" ht="36" customHeight="1">
      <c r="A6" s="9" t="s">
        <v>53</v>
      </c>
      <c r="B6" s="9" t="s">
        <v>54</v>
      </c>
      <c r="F6"/>
      <c r="G6"/>
      <c r="H6"/>
      <c r="K6"/>
      <c r="M6" s="6" t="s">
        <v>0</v>
      </c>
      <c r="N6" s="6" t="s">
        <v>72</v>
      </c>
      <c r="O6" s="6" t="s">
        <v>73</v>
      </c>
      <c r="P6" s="6" t="s">
        <v>74</v>
      </c>
      <c r="Q6" s="6" t="s">
        <v>75</v>
      </c>
      <c r="R6" s="6" t="s">
        <v>1</v>
      </c>
      <c r="S6"/>
      <c r="T6"/>
      <c r="U6"/>
      <c r="W6"/>
      <c r="X6"/>
      <c r="Y6"/>
      <c r="Z6"/>
      <c r="AA6"/>
      <c r="AD6"/>
    </row>
    <row r="7" spans="1:36" ht="60" customHeight="1">
      <c r="A7" s="35" t="s">
        <v>55</v>
      </c>
      <c r="B7">
        <f>COUNTIF(_xlfn.ANCHORARRAY(I19),"INVALID")</f>
        <v>0</v>
      </c>
      <c r="F7"/>
      <c r="G7"/>
      <c r="H7"/>
      <c r="K7"/>
      <c r="M7" s="27" cm="1">
        <f t="array" ref="M7">IF(AND(COUNT(hdProjects[Contract GBP])=ROWS(hdProjects[Job ID]),MIN(hdProjects[Contract GBP])&gt;0,COUNTBLANK(hdProjects[Job ID])=0,SUMPRODUCT(1/COUNTIF(hdProjects[Job ID],hdProjects[Job ID]))=ROWS(hdProjects[Job ID])),SUM(hdProjects[Contract GBP]),"BLOCKED")</f>
        <v>903000</v>
      </c>
      <c r="N7" s="27">
        <f>IF(AND(ISNUMBER(M7),COUNT(hdProjects[Budget GBP])=ROWS(hdProjects[Job ID]),MIN(hdProjects[Budget GBP])&gt;=0),SUM(hdProjects[Budget GBP]),"BLOCKED")</f>
        <v>721460</v>
      </c>
      <c r="O7" s="27">
        <f>IF(AND(hdDateValid,B7=0,B8=0,COUNT(_xlfn.ANCHORARRAY(X19))=ROWS(hdProjects[Job ID])),SUM(_xlfn.ANCHORARRAY(X19)),"BLOCKED")</f>
        <v>392500</v>
      </c>
      <c r="P7" s="27">
        <f>IF(AND(B13="PASS",COUNT(_xlfn.ANCHORARRAY(Y19))=ROWS(hdProjects[Job ID])),SUM(_xlfn.ANCHORARRAY(Y19)),"BLOCKED")</f>
        <v>777600</v>
      </c>
      <c r="Q7" s="27">
        <f>IF(AND(ISNUMBER(M7),ISNUMBER(P7)),M7-P7,"BLOCKED")</f>
        <v>125400</v>
      </c>
      <c r="R7" s="44">
        <f>IF(ISNUMBER(Q7),Q7/M7,"BLOCKED")</f>
        <v>0.1388704318936877</v>
      </c>
      <c r="S7"/>
      <c r="T7"/>
      <c r="U7"/>
      <c r="W7"/>
      <c r="X7"/>
      <c r="Y7"/>
      <c r="Z7"/>
      <c r="AA7"/>
      <c r="AD7"/>
    </row>
    <row r="8" spans="1:36" ht="60" customHeight="1">
      <c r="A8" s="35" t="s">
        <v>56</v>
      </c>
      <c r="B8">
        <f>COUNTIF(_xlfn.ANCHORARRAY(J19),"UNMAPPED")+COUNTIF(_xlfn.ANCHORARRAY(J19),"AMBIGUOUS")</f>
        <v>0</v>
      </c>
      <c r="F8"/>
      <c r="G8"/>
      <c r="H8"/>
      <c r="K8"/>
      <c r="P8"/>
      <c r="Q8"/>
      <c r="R8"/>
      <c r="S8"/>
      <c r="T8"/>
      <c r="U8"/>
      <c r="W8"/>
      <c r="X8"/>
      <c r="Y8"/>
      <c r="Z8"/>
      <c r="AA8"/>
      <c r="AD8"/>
    </row>
    <row r="9" spans="1:36" ht="60" customHeight="1">
      <c r="A9" s="35" t="s">
        <v>57</v>
      </c>
      <c r="B9">
        <f>COUNTIF(_xlfn.ANCHORARRAY(I19),"AFTER DATE")</f>
        <v>0</v>
      </c>
      <c r="F9"/>
      <c r="G9"/>
      <c r="H9"/>
      <c r="K9"/>
      <c r="P9"/>
      <c r="Q9"/>
      <c r="R9"/>
      <c r="S9"/>
      <c r="T9"/>
      <c r="U9"/>
      <c r="W9"/>
      <c r="X9"/>
      <c r="Y9"/>
      <c r="Z9"/>
      <c r="AA9"/>
      <c r="AD9"/>
    </row>
    <row r="10" spans="1:36" ht="60" customHeight="1">
      <c r="A10" s="35" t="s">
        <v>58</v>
      </c>
      <c r="B10">
        <f>COUNTIF(_xlfn.ANCHORARRAY(U19),"&lt;&gt;OK")</f>
        <v>0</v>
      </c>
      <c r="F10"/>
      <c r="G10"/>
      <c r="H10"/>
      <c r="K10"/>
      <c r="P10"/>
      <c r="Q10"/>
      <c r="R10"/>
      <c r="S10"/>
      <c r="T10"/>
      <c r="U10"/>
      <c r="W10"/>
      <c r="X10"/>
      <c r="Y10"/>
      <c r="Z10"/>
      <c r="AA10"/>
      <c r="AD10"/>
    </row>
    <row r="11" spans="1:36" ht="60" customHeight="1">
      <c r="A11" s="35" t="s">
        <v>59</v>
      </c>
      <c r="B11" t="b" cm="1">
        <f t="array" ref="B11">hdDateValid</f>
        <v>1</v>
      </c>
      <c r="F11"/>
      <c r="G11"/>
      <c r="H11"/>
      <c r="K11"/>
      <c r="P11"/>
      <c r="Q11"/>
      <c r="R11"/>
      <c r="S11"/>
      <c r="T11"/>
      <c r="U11"/>
      <c r="W11"/>
      <c r="X11"/>
      <c r="Y11"/>
      <c r="Z11"/>
      <c r="AA11"/>
      <c r="AD11"/>
    </row>
    <row r="12" spans="1:36" ht="60" customHeight="1">
      <c r="A12" s="35" t="s">
        <v>60</v>
      </c>
      <c r="B12" s="27">
        <f>SUM(_xlfn.ANCHORARRAY(K19))</f>
        <v>392500</v>
      </c>
      <c r="F12"/>
      <c r="G12"/>
      <c r="H12"/>
      <c r="K12"/>
      <c r="P12"/>
      <c r="Q12"/>
      <c r="R12"/>
      <c r="S12"/>
      <c r="T12"/>
      <c r="U12"/>
      <c r="W12"/>
      <c r="X12"/>
      <c r="Y12"/>
      <c r="Z12"/>
      <c r="AA12"/>
      <c r="AD12"/>
    </row>
    <row r="13" spans="1:36" ht="60" customHeight="1">
      <c r="A13" s="35" t="s">
        <v>61</v>
      </c>
      <c r="B13" s="43" t="str">
        <f>IF(AND(B7=0,B8=0,B10=0,B11),"PASS","BLOCKED — resolve checks")</f>
        <v>PASS</v>
      </c>
      <c r="F13"/>
      <c r="G13"/>
      <c r="H13"/>
      <c r="K13"/>
      <c r="P13"/>
      <c r="Q13"/>
      <c r="R13"/>
      <c r="S13"/>
      <c r="T13"/>
      <c r="U13"/>
      <c r="W13"/>
      <c r="X13"/>
      <c r="Y13"/>
      <c r="Z13"/>
      <c r="AA13"/>
      <c r="AD13"/>
    </row>
    <row r="14" spans="1:36" ht="60" customHeight="1">
      <c r="B14"/>
      <c r="F14"/>
      <c r="G14"/>
      <c r="H14"/>
      <c r="K14"/>
      <c r="P14"/>
      <c r="Q14"/>
      <c r="R14"/>
      <c r="S14"/>
      <c r="T14"/>
      <c r="U14"/>
      <c r="W14"/>
      <c r="X14"/>
      <c r="Y14"/>
      <c r="Z14"/>
      <c r="AA14"/>
      <c r="AD14"/>
      <c r="AF14" t="str">
        <f>IF(COUNT(_xlfn.ANCHORARRAY(Y19))=0,"No forecasts available — resolve input issues","Budget vs forecast cost | GBP")</f>
        <v>Budget vs forecast cost | GBP</v>
      </c>
      <c r="AJ14" t="str">
        <f>IF(COUNT(_xlfn.ANCHORARRAY(Z19))=0,"No profit forecast available — resolve input issues","Forecast profit / loss | GBP")</f>
        <v>Forecast profit / loss | GBP</v>
      </c>
    </row>
    <row r="15" spans="1:36" ht="60" customHeight="1">
      <c r="A15" s="35" t="s">
        <v>159</v>
      </c>
      <c r="B15" s="35"/>
      <c r="F15"/>
      <c r="G15"/>
      <c r="H15"/>
      <c r="K15"/>
      <c r="P15"/>
      <c r="Q15"/>
      <c r="R15"/>
      <c r="S15"/>
      <c r="T15"/>
      <c r="U15"/>
      <c r="W15"/>
      <c r="X15"/>
      <c r="Y15"/>
      <c r="Z15"/>
      <c r="AA15"/>
      <c r="AD15"/>
    </row>
    <row r="16" spans="1:36" ht="60" customHeight="1">
      <c r="A16" s="35" t="s">
        <v>160</v>
      </c>
      <c r="B16" s="35"/>
      <c r="F16"/>
      <c r="G16"/>
      <c r="H16"/>
      <c r="K16"/>
      <c r="P16"/>
      <c r="Q16"/>
      <c r="R16"/>
      <c r="S16"/>
      <c r="T16"/>
      <c r="U16"/>
      <c r="W16"/>
      <c r="X16"/>
      <c r="Y16"/>
      <c r="Z16"/>
      <c r="AA16"/>
      <c r="AD16"/>
    </row>
    <row r="17" spans="1:37">
      <c r="B17"/>
      <c r="F17"/>
      <c r="G17"/>
      <c r="H17"/>
      <c r="K17"/>
      <c r="P17"/>
      <c r="Q17"/>
      <c r="R17"/>
      <c r="S17"/>
      <c r="T17"/>
      <c r="U17"/>
      <c r="W17"/>
      <c r="X17"/>
      <c r="Y17"/>
      <c r="Z17"/>
      <c r="AA17"/>
      <c r="AD17"/>
      <c r="AF17" t="s">
        <v>182</v>
      </c>
    </row>
    <row r="18" spans="1:37" ht="31.95" customHeight="1">
      <c r="A18" s="9" t="s">
        <v>27</v>
      </c>
      <c r="B18" s="9" t="s">
        <v>28</v>
      </c>
      <c r="C18" s="9" t="s">
        <v>3</v>
      </c>
      <c r="D18" s="9" t="s">
        <v>29</v>
      </c>
      <c r="E18" s="9" t="s">
        <v>30</v>
      </c>
      <c r="F18" s="9" t="s">
        <v>31</v>
      </c>
      <c r="G18" s="9" t="s">
        <v>32</v>
      </c>
      <c r="H18" s="9" t="s">
        <v>62</v>
      </c>
      <c r="I18" s="9" t="s">
        <v>63</v>
      </c>
      <c r="J18" s="9" t="s">
        <v>64</v>
      </c>
      <c r="K18" s="9" t="s">
        <v>65</v>
      </c>
      <c r="L18" s="9" t="s">
        <v>107</v>
      </c>
      <c r="M18" s="9" t="s">
        <v>3</v>
      </c>
      <c r="N18" s="9" t="s">
        <v>2</v>
      </c>
      <c r="O18" s="9" t="s">
        <v>4</v>
      </c>
      <c r="P18" s="9" t="s">
        <v>5</v>
      </c>
      <c r="Q18" s="9" t="s">
        <v>6</v>
      </c>
      <c r="R18" s="9" t="s">
        <v>7</v>
      </c>
      <c r="S18" s="9" t="s">
        <v>8</v>
      </c>
      <c r="T18" s="9" t="s">
        <v>9</v>
      </c>
      <c r="U18" s="9" t="s">
        <v>66</v>
      </c>
      <c r="V18" s="9" t="s">
        <v>67</v>
      </c>
      <c r="W18" s="9" t="s">
        <v>68</v>
      </c>
      <c r="X18" s="9" t="s">
        <v>10</v>
      </c>
      <c r="Y18" s="9" t="s">
        <v>11</v>
      </c>
      <c r="Z18" s="9" t="s">
        <v>69</v>
      </c>
      <c r="AA18" s="9" t="s">
        <v>12</v>
      </c>
      <c r="AB18" s="9" t="s">
        <v>13</v>
      </c>
      <c r="AC18" s="9" t="s">
        <v>70</v>
      </c>
      <c r="AD18" s="9" t="s">
        <v>71</v>
      </c>
      <c r="AF18" s="5" t="str" cm="1">
        <f t="array" ref="AF18:AH23">_xlfn.LET(_xlpm.src,_xlfn.VSTACK({"Project","Cost budget","Forecast cost"},_xlfn._xlws.FILTER(_xlfn.HSTACK(_xlfn.ANCHORARRAY(N19),_xlfn.ANCHORARRAY(Q19),_xlfn.ANCHORARRAY(Y19)),ISNUMBER(_xlfn.ANCHORARRAY(Y19)),{"No available forecasts","",""})),IF((_xlfn.SEQUENCE(ROWS(_xlpm.src))&gt;1)*(_xlfn.SEQUENCE(,3)&gt;1)*(COUNT(_xlfn.ANCHORARRAY(Y19))=0),NA(),_xlpm.src))</f>
        <v>Project</v>
      </c>
      <c r="AG18" s="5" t="str">
        <v>Cost budget</v>
      </c>
      <c r="AH18" s="5" t="str">
        <v>Forecast cost</v>
      </c>
      <c r="AI18" s="5"/>
      <c r="AJ18" s="5" t="str" cm="1">
        <f t="array" ref="AJ18:AK23">_xlfn.LET(_xlpm.src,_xlfn.VSTACK({"Project","Forecast profit / loss"},_xlfn._xlws.FILTER(_xlfn.HSTACK(_xlfn.ANCHORARRAY(N19),_xlfn.ANCHORARRAY(Z19)),ISNUMBER(_xlfn.ANCHORARRAY(Z19)),{"No available forecasts",""})),IF((_xlfn.SEQUENCE(ROWS(_xlpm.src))&gt;1)*(_xlfn.SEQUENCE(,2)&gt;1)*(COUNT(_xlfn.ANCHORARRAY(Z19))=0),NA(),_xlpm.src))</f>
        <v>Project</v>
      </c>
      <c r="AK18" s="5" t="str">
        <v>Forecast profit / loss</v>
      </c>
    </row>
    <row r="19" spans="1:37" ht="31.95" customHeight="1">
      <c r="A19" t="str" cm="1">
        <f t="array" ref="A19:A33">IF(hdCosts[Cost ID]="","",hdCosts[Cost ID])</f>
        <v>C-01</v>
      </c>
      <c r="B19" s="4" cm="1">
        <f t="array" ref="B19:B33">IF(hdCosts[Date]="","",hdCosts[Date])</f>
        <v>46244</v>
      </c>
      <c r="C19" t="str" cm="1">
        <f t="array" ref="C19:C33">IF(hdCosts[Job ID]="","",hdCosts[Job ID])</f>
        <v>2601</v>
      </c>
      <c r="D19" t="str" cm="1">
        <f t="array" ref="D19:D33">IF(hdCosts[Description]="","",hdCosts[Description])</f>
        <v>Equipment package</v>
      </c>
      <c r="E19" cm="1">
        <f t="array" ref="E19:E33">IF(hdCosts[Quantity]="","",hdCosts[Quantity])</f>
        <v>1</v>
      </c>
      <c r="F19" s="33" cm="1">
        <f t="array" ref="F19:F33">IF(hdCosts[Rate GBP]="","",hdCosts[Rate GBP])</f>
        <v>40000</v>
      </c>
      <c r="G19" s="33" cm="1">
        <f t="array" ref="G19:G33">IF(ISNUMBER(hdCosts[Quantity])*ISNUMBER(hdCosts[Rate GBP])*(hdCosts[Quantity]&gt;0)*(hdCosts[Rate GBP]&gt;=0),ROUND(hdCosts[Quantity]*hdCosts[Rate GBP],2),"BLOCKED")</f>
        <v>40000</v>
      </c>
      <c r="H19" s="35" t="str" cm="1">
        <f t="array" ref="H19:H33">_xlfn.LET(_xlpm.ids,hdCosts[Cost ID],_xlpm.dt,hdCosts[Date],_xlpm.jobs,hdCosts[Job ID],_xlpm.des,hdCosts[Description],_xlpm.qty,hdCosts[Quantity],_xlpm.rate,hdCosts[Rate GBP],_xlpm.r,IF(((ISNUMBER(SEARCH("~*",_xlpm.ids&amp;""))+ISNUMBER(SEARCH("~?",_xlpm.ids&amp;""))+ISNUMBER(SEARCH("~~",_xlpm.ids&amp;"")))&gt;0),"Cost ID cannot contain wildcard characters; ","")&amp;IF(((ISNUMBER(SEARCH("~*",_xlpm.jobs&amp;""))+ISNUMBER(SEARCH("~?",_xlpm.jobs&amp;""))+ISNUMBER(SEARCH("~~",_xlpm.jobs&amp;"")))&gt;0),"Project ID cannot contain wildcard characters; ","")&amp;IF(LEN(TRIM(_xlpm.ids&amp;""))=0,"Missing cost ID; ",IF(_xlpm.ids&amp;""&lt;&gt;TRIM(_xlpm.ids&amp;""),"Cost ID contains outer spaces; ",""))&amp;IF((_xlpm.ids&lt;&gt;"")*(COUNTIF(hdCosts[Cost ID],_xlpm.ids)&gt;1),"Duplicate cost ID; ","")&amp;IF(ISNUMBER(_xlpm.dt),IF((_xlpm.dt&lt;1)+(_xlpm.dt&gt;DATE(9999,12,31))+(_xlpm.dt&lt;&gt;INT(_xlpm.dt)),"Invalid date; ",""),"Missing or non-date value; ")&amp;IF(LEN(TRIM(_xlpm.jobs&amp;""))=0,"Missing project ID; ",IF(COUNTIF(hdProjects[Job ID],_xlpm.jobs)=0,"Unknown project ID; ",IF(COUNTIF(hdProjects[Job ID],_xlpm.jobs)&gt;1,"Ambiguous project ID; ","")))&amp;IF(LEN(TRIM(_xlpm.des&amp;""))=0,"Missing description; ","")&amp;IF(ISNUMBER(_xlpm.qty),IF(_xlpm.qty&gt;0,"","Quantity must be positive; "),"Missing or non-numeric quantity; ")&amp;IF(ISNUMBER(_xlpm.rate),IF(_xlpm.rate&gt;=0,"","Rate must be non-negative; "),"Missing or non-numeric rate; "),IF(_xlpm.r="","OK",LEFT(_xlpm.r,LEN(_xlpm.r)-2)))</f>
        <v>OK</v>
      </c>
      <c r="I19" t="str" cm="1">
        <f t="array" ref="I19:I33">IF(_xlfn.ANCHORARRAY(H19)&lt;&gt;"OK","INVALID",IF(NOT(hdDateValid),"DATE ERROR",IF(hdCosts[Date]&gt;hdReportDate,"AFTER DATE","INCLUDED")))</f>
        <v>INCLUDED</v>
      </c>
      <c r="J19" t="str" cm="1">
        <f t="array" ref="J19:J33">IF((hdCosts[Job ID]="")+(((ISNUMBER(SEARCH("~*",hdCosts[Job ID]&amp;""))+ISNUMBER(SEARCH("~?",hdCosts[Job ID]&amp;""))+ISNUMBER(SEARCH("~~",hdCosts[Job ID]&amp;"")))&gt;0)),"UNMAPPED",IF(COUNTIF(hdProjects[Job ID],hdCosts[Job ID])=0,"UNMAPPED",IF(COUNTIF(hdProjects[Job ID],hdCosts[Job ID])&gt;1,"AMBIGUOUS","MAPPED")))</f>
        <v>MAPPED</v>
      </c>
      <c r="K19" s="27" cm="1">
        <f t="array" ref="K19:K33">IF(_xlfn.ANCHORARRAY(I19)="INCLUDED",_xlfn.ANCHORARRAY(G19),0)</f>
        <v>40000</v>
      </c>
      <c r="L19" cm="1">
        <f t="array" ref="L19:L33">ROW(hdCosts[Cost ID])</f>
        <v>7</v>
      </c>
      <c r="M19" t="str" cm="1">
        <f t="array" ref="M19:M23">IF(hdProjects[Job ID]="","",hdProjects[Job ID])</f>
        <v>2601</v>
      </c>
      <c r="N19" t="str" cm="1">
        <f t="array" ref="N19:N23">IF(hdProjects[Project]="","",hdProjects[Project])</f>
        <v>Heathrow AHU Upgrade</v>
      </c>
      <c r="O19" t="str" cm="1">
        <f t="array" ref="O19:O23">IF(hdProjects[Owner]="","",hdProjects[Owner])</f>
        <v>Demo manager A</v>
      </c>
      <c r="P19" s="27" cm="1">
        <f t="array" ref="P19:P23">IF(hdProjects[Contract GBP]="","",hdProjects[Contract GBP])</f>
        <v>185000</v>
      </c>
      <c r="Q19" s="27" cm="1">
        <f t="array" ref="Q19:Q23">IF(hdProjects[Budget GBP]="","",hdProjects[Budget GBP])</f>
        <v>151700</v>
      </c>
      <c r="R19" s="29" cm="1">
        <f t="array" ref="R19:R23">IF(hdProjects[Progress]="","",hdProjects[Progress])</f>
        <v>0.71</v>
      </c>
      <c r="S19" s="27" cm="1">
        <f t="array" ref="S19:S23">IF(hdProjects[Open POs GBP]="","",hdProjects[Open POs GBP])</f>
        <v>18500</v>
      </c>
      <c r="T19" s="27" cm="1">
        <f t="array" ref="T19:T23">IF(hdProjects[Unplaced ETC]="","",hdProjects[Unplaced ETC])</f>
        <v>40000</v>
      </c>
      <c r="U19" s="35" t="str" cm="1">
        <f t="array" ref="U19:U23">_xlfn.LET(_xlpm.ids,hdProjects[Job ID],_xlpm.nm,hdProjects[Project],_xlpm.ow,hdProjects[Owner],_xlpm.ct,hdProjects[Contract GBP],_xlpm.bg,hdProjects[Budget GBP],_xlpm.pr,hdProjects[Progress],_xlpm.po,hdProjects[Open POs GBP],_xlpm.etc,hdProjects[Unplaced ETC],_xlpm.r,IF(((ISNUMBER(SEARCH("~*",_xlpm.ids&amp;""))+ISNUMBER(SEARCH("~?",_xlpm.ids&amp;""))+ISNUMBER(SEARCH("~~",_xlpm.ids&amp;"")))&gt;0),"Project ID cannot contain wildcard characters; ","")&amp;IF(LEN(TRIM(_xlpm.ids&amp;""))=0,"Missing project ID; ",IF(_xlpm.ids&amp;""&lt;&gt;TRIM(_xlpm.ids&amp;""),"Project ID contains outer spaces; ",""))&amp;IF((_xlpm.ids&lt;&gt;"")*(COUNTIF(hdProjects[Job ID],_xlpm.ids)&gt;1),"Duplicate project ID; ","")&amp;IF(LEN(TRIM(_xlpm.nm&amp;""))=0,"Missing project name; ","")&amp;IF(LEN(TRIM(_xlpm.ow&amp;""))=0,"Missing owner; ","")&amp;IF(ISNUMBER(_xlpm.ct),IF(_xlpm.ct&gt;0,"","Contract must be positive; "),"Missing or non-numeric contract; ")&amp;IF(ISNUMBER(_xlpm.bg),IF(_xlpm.bg&gt;=0,"","Budget must be non-negative; "),"Missing or non-numeric budget; ")&amp;IF(ISNUMBER(_xlpm.pr),IF((_xlpm.pr&gt;=0)*(_xlpm.pr&lt;=1),"","Progress must be 0% to 100%; "),"Missing or non-numeric progress; ")&amp;IF(ISNUMBER(_xlpm.po),IF(_xlpm.po&gt;=0,"","Open POs must be non-negative; "),"Open POs required: enter 0 if none; ")&amp;IF(ISNUMBER(_xlpm.etc),IF(_xlpm.etc&gt;=0,"","Unplaced ETC must be non-negative; "),"Unplaced ETC required: enter 0 only if none remains; "),IF(_xlpm.r="","OK",LEFT(_xlpm.r,LEN(_xlpm.r)-2)))</f>
        <v>OK</v>
      </c>
      <c r="V19" cm="1">
        <f t="array" ref="V19:V23">COUNTIFS(_xlfn.ANCHORARRAY(C19),_xlfn.ANCHORARRAY(M19),_xlfn.ANCHORARRAY(I19),"INVALID")</f>
        <v>0</v>
      </c>
      <c r="W19" s="27" cm="1">
        <f t="array" ref="W19:W23">SUMIF(_xlfn.ANCHORARRAY(C19),_xlfn.ANCHORARRAY(M19),_xlfn.ANCHORARRAY(K19))</f>
        <v>72500</v>
      </c>
      <c r="X19" s="27" cm="1">
        <f t="array" ref="X19:X23">IF((NOT(hdDateValid))+($B$8&gt;0)+(_xlfn.ANCHORARRAY(V19)&gt;0)+(_xlfn.ANCHORARRAY(M19)="")+(COUNTIF(hdProjects[Job ID],_xlfn.ANCHORARRAY(M19))&lt;&gt;1),"BLOCKED",_xlfn.ANCHORARRAY(W19))</f>
        <v>72500</v>
      </c>
      <c r="Y19" s="27" cm="1">
        <f t="array" ref="Y19:Y23">IF((_xlfn.ANCHORARRAY(U19)="OK")*ISNUMBER(_xlfn.ANCHORARRAY(X19)),_xlfn.ANCHORARRAY(X19)+_xlfn.ANCHORARRAY(S19)+_xlfn.ANCHORARRAY(T19),"BLOCKED")</f>
        <v>131000</v>
      </c>
      <c r="Z19" s="27" cm="1">
        <f t="array" ref="Z19:Z23">IF(ISNUMBER(_xlfn.ANCHORARRAY(Y19)),_xlfn.ANCHORARRAY(P19)-_xlfn.ANCHORARRAY(Y19),"BLOCKED")</f>
        <v>54000</v>
      </c>
      <c r="AA19" s="29" cm="1">
        <f t="array" ref="AA19:AA23">IF(ISNUMBER(_xlfn.ANCHORARRAY(Z19)),_xlfn.ANCHORARRAY(Z19)/_xlfn.ANCHORARRAY(P19),"BLOCKED")</f>
        <v>0.29189189189189191</v>
      </c>
      <c r="AB19" t="str" cm="1">
        <f t="array" ref="AB19:AB23">IF(ISNUMBER(_xlfn.ANCHORARRAY(Y19)),IF(_xlfn.ANCHORARRAY(Y19)&gt;_xlfn.ANCHORARRAY(Q19),"OVER BUDGET","WITHIN BUDGET"),"BLOCKED")</f>
        <v>WITHIN BUDGET</v>
      </c>
      <c r="AC19" t="str" cm="1">
        <f t="array" ref="AC19:AC23">IF(ISNUMBER(_xlfn.ANCHORARRAY(Z19)),IF(_xlfn.ANCHORARRAY(Z19)&lt;0,"LOSS",IF(_xlfn.ANCHORARRAY(Z19)=0,"BREAK-EVEN","PROFIT")),"BLOCKED")</f>
        <v>PROFIT</v>
      </c>
      <c r="AD19" s="35" t="str" cm="1">
        <f t="array" ref="AD19:AD23">IF(_xlfn.ANCHORARRAY(U19)&lt;&gt;"OK",_xlfn.ANCHORARRAY(U19)&amp;" | ","")&amp;IF(_xlfn.ANCHORARRAY(V19)&gt;0,_xlfn.ANCHORARRAY(V19)&amp;" invalid cost record(s); see cost audit | ","")&amp;IF($B$8&gt;0,"Unmapped cost records: resolve before using forecasts | ","")&amp;IF(NOT(hdDateValid),"Invalid reporting date | ","")&amp;IF((_xlfn.ANCHORARRAY(U19)="OK")*(_xlfn.ANCHORARRAY(V19)=0)*($B$8=0)*hdDateValid,"OK","")</f>
        <v>OK</v>
      </c>
      <c r="AF19" t="str">
        <v>Heathrow AHU Upgrade</v>
      </c>
      <c r="AG19" s="27">
        <v>151700</v>
      </c>
      <c r="AH19" s="27">
        <v>131000</v>
      </c>
      <c r="AJ19" t="str">
        <v>Heathrow AHU Upgrade</v>
      </c>
      <c r="AK19" s="27">
        <v>54000</v>
      </c>
    </row>
    <row r="20" spans="1:37" ht="31.95" customHeight="1">
      <c r="A20" t="str">
        <v>C-02</v>
      </c>
      <c r="B20" s="4">
        <v>46270</v>
      </c>
      <c r="C20" t="str">
        <v>2601</v>
      </c>
      <c r="D20" t="str">
        <v>Labour hours</v>
      </c>
      <c r="E20">
        <v>500</v>
      </c>
      <c r="F20" s="33">
        <v>35</v>
      </c>
      <c r="G20" s="33">
        <v>17500</v>
      </c>
      <c r="H20" s="35" t="str">
        <v>OK</v>
      </c>
      <c r="I20" t="str">
        <v>INCLUDED</v>
      </c>
      <c r="J20" t="str">
        <v>MAPPED</v>
      </c>
      <c r="K20" s="27">
        <v>17500</v>
      </c>
      <c r="L20">
        <v>8</v>
      </c>
      <c r="M20" t="str">
        <v>2602</v>
      </c>
      <c r="N20" t="str">
        <v>Bristol HVAC Retrofit</v>
      </c>
      <c r="O20" t="str">
        <v>Demo manager B</v>
      </c>
      <c r="P20" s="27">
        <v>92000</v>
      </c>
      <c r="Q20" s="27">
        <v>71760</v>
      </c>
      <c r="R20" s="29">
        <v>0.68</v>
      </c>
      <c r="S20" s="27">
        <v>9600</v>
      </c>
      <c r="T20" s="27">
        <v>18000</v>
      </c>
      <c r="U20" s="35" t="str">
        <v>OK</v>
      </c>
      <c r="V20">
        <v>0</v>
      </c>
      <c r="W20" s="27">
        <v>56300</v>
      </c>
      <c r="X20" s="27">
        <v>56300</v>
      </c>
      <c r="Y20" s="27">
        <v>83900</v>
      </c>
      <c r="Z20" s="27">
        <v>8100</v>
      </c>
      <c r="AA20" s="29">
        <v>8.804347826086957E-2</v>
      </c>
      <c r="AB20" t="str">
        <v>OVER BUDGET</v>
      </c>
      <c r="AC20" t="str">
        <v>PROFIT</v>
      </c>
      <c r="AD20" s="35" t="str">
        <v>OK</v>
      </c>
      <c r="AF20" t="str">
        <v>Bristol HVAC Retrofit</v>
      </c>
      <c r="AG20" s="27">
        <v>71760</v>
      </c>
      <c r="AH20" s="27">
        <v>83900</v>
      </c>
      <c r="AJ20" t="str">
        <v>Bristol HVAC Retrofit</v>
      </c>
      <c r="AK20" s="27">
        <v>8100</v>
      </c>
    </row>
    <row r="21" spans="1:37" ht="31.95" customHeight="1">
      <c r="A21" t="str">
        <v>C-03</v>
      </c>
      <c r="B21" s="4">
        <v>46280</v>
      </c>
      <c r="C21" t="str">
        <v>2601</v>
      </c>
      <c r="D21" t="str">
        <v>Installation subcontract</v>
      </c>
      <c r="E21">
        <v>1</v>
      </c>
      <c r="F21" s="33">
        <v>15000</v>
      </c>
      <c r="G21" s="33">
        <v>15000</v>
      </c>
      <c r="H21" s="35" t="str">
        <v>OK</v>
      </c>
      <c r="I21" t="str">
        <v>INCLUDED</v>
      </c>
      <c r="J21" t="str">
        <v>MAPPED</v>
      </c>
      <c r="K21" s="27">
        <v>15000</v>
      </c>
      <c r="L21">
        <v>9</v>
      </c>
      <c r="M21" t="str">
        <v>2603</v>
      </c>
      <c r="N21" t="str">
        <v>Surrey Process Cooling</v>
      </c>
      <c r="O21" t="str">
        <v>Demo manager A</v>
      </c>
      <c r="P21" s="27">
        <v>240000</v>
      </c>
      <c r="Q21" s="27">
        <v>201600</v>
      </c>
      <c r="R21" s="29">
        <v>0.45</v>
      </c>
      <c r="S21" s="27">
        <v>45000</v>
      </c>
      <c r="T21" s="27">
        <v>80000</v>
      </c>
      <c r="U21" s="35" t="str">
        <v>OK</v>
      </c>
      <c r="V21">
        <v>0</v>
      </c>
      <c r="W21" s="27">
        <v>88100</v>
      </c>
      <c r="X21" s="27">
        <v>88100</v>
      </c>
      <c r="Y21" s="27">
        <v>213100</v>
      </c>
      <c r="Z21" s="27">
        <v>26900</v>
      </c>
      <c r="AA21" s="29">
        <v>0.11208333333333333</v>
      </c>
      <c r="AB21" t="str">
        <v>OVER BUDGET</v>
      </c>
      <c r="AC21" t="str">
        <v>PROFIT</v>
      </c>
      <c r="AD21" s="35" t="str">
        <v>OK</v>
      </c>
      <c r="AF21" t="str">
        <v>Surrey Process Cooling</v>
      </c>
      <c r="AG21" s="27">
        <v>201600</v>
      </c>
      <c r="AH21" s="27">
        <v>213100</v>
      </c>
      <c r="AJ21" t="str">
        <v>Surrey Process Cooling</v>
      </c>
      <c r="AK21" s="27">
        <v>26900</v>
      </c>
    </row>
    <row r="22" spans="1:37" ht="31.95" customHeight="1">
      <c r="A22" t="str">
        <v>C-11</v>
      </c>
      <c r="B22" s="4">
        <v>46244</v>
      </c>
      <c r="C22" t="str">
        <v>2602</v>
      </c>
      <c r="D22" t="str">
        <v>Equipment package</v>
      </c>
      <c r="E22">
        <v>1</v>
      </c>
      <c r="F22" s="33">
        <v>18000</v>
      </c>
      <c r="G22" s="33">
        <v>18000</v>
      </c>
      <c r="H22" s="35" t="str">
        <v>OK</v>
      </c>
      <c r="I22" t="str">
        <v>INCLUDED</v>
      </c>
      <c r="J22" t="str">
        <v>MAPPED</v>
      </c>
      <c r="K22" s="27">
        <v>18000</v>
      </c>
      <c r="L22">
        <v>10</v>
      </c>
      <c r="M22" t="str">
        <v>2604</v>
      </c>
      <c r="N22" t="str">
        <v>Reading Boiler Replacement</v>
      </c>
      <c r="O22" t="str">
        <v>Demo manager C</v>
      </c>
      <c r="P22" s="27">
        <v>76000</v>
      </c>
      <c r="Q22" s="27">
        <v>60800</v>
      </c>
      <c r="R22" s="29">
        <v>0.82</v>
      </c>
      <c r="S22" s="27">
        <v>5000</v>
      </c>
      <c r="T22" s="27">
        <v>6000</v>
      </c>
      <c r="U22" s="35" t="str">
        <v>OK</v>
      </c>
      <c r="V22">
        <v>0</v>
      </c>
      <c r="W22" s="27">
        <v>71900</v>
      </c>
      <c r="X22" s="27">
        <v>71900</v>
      </c>
      <c r="Y22" s="27">
        <v>82900</v>
      </c>
      <c r="Z22" s="27">
        <v>-6900</v>
      </c>
      <c r="AA22" s="29">
        <v>-9.0789473684210531E-2</v>
      </c>
      <c r="AB22" t="str">
        <v>OVER BUDGET</v>
      </c>
      <c r="AC22" t="str">
        <v>LOSS</v>
      </c>
      <c r="AD22" s="35" t="str">
        <v>OK</v>
      </c>
      <c r="AF22" t="str">
        <v>Reading Boiler Replacement</v>
      </c>
      <c r="AG22" s="27">
        <v>60800</v>
      </c>
      <c r="AH22" s="27">
        <v>82900</v>
      </c>
      <c r="AJ22" t="str">
        <v>Reading Boiler Replacement</v>
      </c>
      <c r="AK22" s="27">
        <v>-6900</v>
      </c>
    </row>
    <row r="23" spans="1:37" ht="31.95" customHeight="1">
      <c r="A23" t="str">
        <v>C-12</v>
      </c>
      <c r="B23" s="4">
        <v>46270</v>
      </c>
      <c r="C23" t="str">
        <v>2602</v>
      </c>
      <c r="D23" t="str">
        <v>Labour hours</v>
      </c>
      <c r="E23">
        <v>580</v>
      </c>
      <c r="F23" s="33">
        <v>35</v>
      </c>
      <c r="G23" s="33">
        <v>20300</v>
      </c>
      <c r="H23" s="35" t="str">
        <v>OK</v>
      </c>
      <c r="I23" t="str">
        <v>INCLUDED</v>
      </c>
      <c r="J23" t="str">
        <v>MAPPED</v>
      </c>
      <c r="K23" s="27">
        <v>20300</v>
      </c>
      <c r="L23">
        <v>11</v>
      </c>
      <c r="M23" t="str">
        <v>2605</v>
      </c>
      <c r="N23" t="str">
        <v>Oxford Cleanroom Ventilation</v>
      </c>
      <c r="O23" t="str">
        <v>Demo manager B</v>
      </c>
      <c r="P23" s="27">
        <v>310000</v>
      </c>
      <c r="Q23" s="27">
        <v>235600</v>
      </c>
      <c r="R23" s="29">
        <v>0.38</v>
      </c>
      <c r="S23" s="27">
        <v>58000</v>
      </c>
      <c r="T23" s="27">
        <v>105000</v>
      </c>
      <c r="U23" s="35" t="str">
        <v>OK</v>
      </c>
      <c r="V23">
        <v>0</v>
      </c>
      <c r="W23" s="27">
        <v>103700</v>
      </c>
      <c r="X23" s="27">
        <v>103700</v>
      </c>
      <c r="Y23" s="27">
        <v>266700</v>
      </c>
      <c r="Z23" s="27">
        <v>43300</v>
      </c>
      <c r="AA23" s="29">
        <v>0.13967741935483871</v>
      </c>
      <c r="AB23" t="str">
        <v>OVER BUDGET</v>
      </c>
      <c r="AC23" t="str">
        <v>PROFIT</v>
      </c>
      <c r="AD23" s="35" t="str">
        <v>OK</v>
      </c>
      <c r="AF23" t="str">
        <v>Oxford Cleanroom Ventilation</v>
      </c>
      <c r="AG23" s="27">
        <v>235600</v>
      </c>
      <c r="AH23" s="27">
        <v>266700</v>
      </c>
      <c r="AJ23" t="str">
        <v>Oxford Cleanroom Ventilation</v>
      </c>
      <c r="AK23" s="27">
        <v>43300</v>
      </c>
    </row>
    <row r="24" spans="1:37" ht="31.95" customHeight="1">
      <c r="A24" t="str">
        <v>C-13</v>
      </c>
      <c r="B24" s="4">
        <v>46280</v>
      </c>
      <c r="C24" t="str">
        <v>2602</v>
      </c>
      <c r="D24" t="str">
        <v>Installation subcontract</v>
      </c>
      <c r="E24">
        <v>1</v>
      </c>
      <c r="F24" s="33">
        <v>18000</v>
      </c>
      <c r="G24" s="33">
        <v>18000</v>
      </c>
      <c r="H24" s="35" t="str">
        <v>OK</v>
      </c>
      <c r="I24" t="str">
        <v>INCLUDED</v>
      </c>
      <c r="J24" t="str">
        <v>MAPPED</v>
      </c>
      <c r="K24" s="27">
        <v>18000</v>
      </c>
      <c r="L24">
        <v>12</v>
      </c>
      <c r="AG24" s="27"/>
      <c r="AH24" s="27"/>
      <c r="AK24" s="27"/>
    </row>
    <row r="25" spans="1:37" ht="31.95" customHeight="1">
      <c r="A25" t="str">
        <v>C-21</v>
      </c>
      <c r="B25" s="4">
        <v>46244</v>
      </c>
      <c r="C25" t="str">
        <v>2603</v>
      </c>
      <c r="D25" t="str">
        <v>Equipment package</v>
      </c>
      <c r="E25">
        <v>1</v>
      </c>
      <c r="F25" s="33">
        <v>44000</v>
      </c>
      <c r="G25" s="33">
        <v>44000</v>
      </c>
      <c r="H25" s="35" t="str">
        <v>OK</v>
      </c>
      <c r="I25" t="str">
        <v>INCLUDED</v>
      </c>
      <c r="J25" t="str">
        <v>MAPPED</v>
      </c>
      <c r="K25" s="27">
        <v>44000</v>
      </c>
      <c r="L25">
        <v>13</v>
      </c>
      <c r="AG25" s="27"/>
      <c r="AH25" s="27"/>
      <c r="AK25" s="27"/>
    </row>
    <row r="26" spans="1:37" ht="31.95" customHeight="1">
      <c r="A26" t="str">
        <v>C-22</v>
      </c>
      <c r="B26" s="4">
        <v>46270</v>
      </c>
      <c r="C26" t="str">
        <v>2603</v>
      </c>
      <c r="D26" t="str">
        <v>Labour hours</v>
      </c>
      <c r="E26">
        <v>660</v>
      </c>
      <c r="F26" s="33">
        <v>35</v>
      </c>
      <c r="G26" s="33">
        <v>23100</v>
      </c>
      <c r="H26" s="35" t="str">
        <v>OK</v>
      </c>
      <c r="I26" t="str">
        <v>INCLUDED</v>
      </c>
      <c r="J26" t="str">
        <v>MAPPED</v>
      </c>
      <c r="K26" s="27">
        <v>23100</v>
      </c>
      <c r="L26">
        <v>14</v>
      </c>
      <c r="AG26" s="27"/>
      <c r="AH26" s="27"/>
      <c r="AK26" s="27"/>
    </row>
    <row r="27" spans="1:37" ht="31.95" customHeight="1">
      <c r="A27" t="str">
        <v>C-23</v>
      </c>
      <c r="B27" s="4">
        <v>46280</v>
      </c>
      <c r="C27" t="str">
        <v>2603</v>
      </c>
      <c r="D27" t="str">
        <v>Installation subcontract</v>
      </c>
      <c r="E27">
        <v>1</v>
      </c>
      <c r="F27" s="33">
        <v>21000</v>
      </c>
      <c r="G27" s="33">
        <v>21000</v>
      </c>
      <c r="H27" s="35" t="str">
        <v>OK</v>
      </c>
      <c r="I27" t="str">
        <v>INCLUDED</v>
      </c>
      <c r="J27" t="str">
        <v>MAPPED</v>
      </c>
      <c r="K27" s="27">
        <v>21000</v>
      </c>
      <c r="L27">
        <v>15</v>
      </c>
      <c r="AG27" s="27"/>
      <c r="AH27" s="27"/>
      <c r="AK27" s="27"/>
    </row>
    <row r="28" spans="1:37" ht="31.95" customHeight="1">
      <c r="A28" t="str">
        <v>C-31</v>
      </c>
      <c r="B28" s="4">
        <v>46244</v>
      </c>
      <c r="C28" t="str">
        <v>2604</v>
      </c>
      <c r="D28" t="str">
        <v>Equipment package</v>
      </c>
      <c r="E28">
        <v>1</v>
      </c>
      <c r="F28" s="33">
        <v>22000</v>
      </c>
      <c r="G28" s="33">
        <v>22000</v>
      </c>
      <c r="H28" s="35" t="str">
        <v>OK</v>
      </c>
      <c r="I28" t="str">
        <v>INCLUDED</v>
      </c>
      <c r="J28" t="str">
        <v>MAPPED</v>
      </c>
      <c r="K28" s="27">
        <v>22000</v>
      </c>
      <c r="L28">
        <v>16</v>
      </c>
      <c r="AG28" s="27"/>
      <c r="AH28" s="27"/>
      <c r="AK28" s="27"/>
    </row>
    <row r="29" spans="1:37" ht="31.95" customHeight="1">
      <c r="A29" t="str">
        <v>C-32</v>
      </c>
      <c r="B29" s="4">
        <v>46270</v>
      </c>
      <c r="C29" t="str">
        <v>2604</v>
      </c>
      <c r="D29" t="str">
        <v>Labour hours</v>
      </c>
      <c r="E29">
        <v>740</v>
      </c>
      <c r="F29" s="33">
        <v>35</v>
      </c>
      <c r="G29" s="33">
        <v>25900</v>
      </c>
      <c r="H29" s="35" t="str">
        <v>OK</v>
      </c>
      <c r="I29" t="str">
        <v>INCLUDED</v>
      </c>
      <c r="J29" t="str">
        <v>MAPPED</v>
      </c>
      <c r="K29" s="27">
        <v>25900</v>
      </c>
      <c r="L29">
        <v>17</v>
      </c>
      <c r="AG29" s="27"/>
      <c r="AH29" s="27"/>
      <c r="AK29" s="27"/>
    </row>
    <row r="30" spans="1:37" ht="31.95" customHeight="1">
      <c r="A30" t="str">
        <v>C-33</v>
      </c>
      <c r="B30" s="4">
        <v>46280</v>
      </c>
      <c r="C30" t="str">
        <v>2604</v>
      </c>
      <c r="D30" t="str">
        <v>Installation subcontract</v>
      </c>
      <c r="E30">
        <v>1</v>
      </c>
      <c r="F30" s="33">
        <v>24000</v>
      </c>
      <c r="G30" s="33">
        <v>24000</v>
      </c>
      <c r="H30" s="35" t="str">
        <v>OK</v>
      </c>
      <c r="I30" t="str">
        <v>INCLUDED</v>
      </c>
      <c r="J30" t="str">
        <v>MAPPED</v>
      </c>
      <c r="K30" s="27">
        <v>24000</v>
      </c>
      <c r="L30">
        <v>18</v>
      </c>
      <c r="AG30" s="27"/>
      <c r="AH30" s="27"/>
      <c r="AK30" s="27"/>
    </row>
    <row r="31" spans="1:37" ht="31.95" customHeight="1">
      <c r="A31" t="str">
        <v>C-41</v>
      </c>
      <c r="B31" s="4">
        <v>46244</v>
      </c>
      <c r="C31" t="str">
        <v>2605</v>
      </c>
      <c r="D31" t="str">
        <v>Equipment package</v>
      </c>
      <c r="E31">
        <v>1</v>
      </c>
      <c r="F31" s="33">
        <v>48000</v>
      </c>
      <c r="G31" s="33">
        <v>48000</v>
      </c>
      <c r="H31" s="35" t="str">
        <v>OK</v>
      </c>
      <c r="I31" t="str">
        <v>INCLUDED</v>
      </c>
      <c r="J31" t="str">
        <v>MAPPED</v>
      </c>
      <c r="K31" s="27">
        <v>48000</v>
      </c>
      <c r="L31">
        <v>19</v>
      </c>
      <c r="AG31" s="27"/>
      <c r="AH31" s="27"/>
      <c r="AK31" s="27"/>
    </row>
    <row r="32" spans="1:37" ht="31.95" customHeight="1">
      <c r="A32" t="str">
        <v>C-42</v>
      </c>
      <c r="B32" s="4">
        <v>46270</v>
      </c>
      <c r="C32" t="str">
        <v>2605</v>
      </c>
      <c r="D32" t="str">
        <v>Labour hours</v>
      </c>
      <c r="E32">
        <v>820</v>
      </c>
      <c r="F32" s="33">
        <v>35</v>
      </c>
      <c r="G32" s="33">
        <v>28700</v>
      </c>
      <c r="H32" s="35" t="str">
        <v>OK</v>
      </c>
      <c r="I32" t="str">
        <v>INCLUDED</v>
      </c>
      <c r="J32" t="str">
        <v>MAPPED</v>
      </c>
      <c r="K32" s="27">
        <v>28700</v>
      </c>
      <c r="L32">
        <v>20</v>
      </c>
      <c r="AG32" s="27"/>
      <c r="AH32" s="27"/>
      <c r="AK32" s="27"/>
    </row>
    <row r="33" spans="1:37" ht="31.95" customHeight="1">
      <c r="A33" t="str">
        <v>C-43</v>
      </c>
      <c r="B33" s="4">
        <v>46280</v>
      </c>
      <c r="C33" t="str">
        <v>2605</v>
      </c>
      <c r="D33" t="str">
        <v>Installation subcontract</v>
      </c>
      <c r="E33">
        <v>1</v>
      </c>
      <c r="F33" s="33">
        <v>27000</v>
      </c>
      <c r="G33" s="33">
        <v>27000</v>
      </c>
      <c r="H33" s="35" t="str">
        <v>OK</v>
      </c>
      <c r="I33" t="str">
        <v>INCLUDED</v>
      </c>
      <c r="J33" t="str">
        <v>MAPPED</v>
      </c>
      <c r="K33" s="27">
        <v>27000</v>
      </c>
      <c r="L33">
        <v>21</v>
      </c>
      <c r="AG33" s="27"/>
      <c r="AH33" s="27"/>
      <c r="AK33" s="27"/>
    </row>
    <row r="34" spans="1:37">
      <c r="AG34" s="27"/>
      <c r="AH34" s="27"/>
      <c r="AK34" s="27"/>
    </row>
    <row r="35" spans="1:37">
      <c r="AG35" s="27"/>
      <c r="AH35" s="27"/>
      <c r="AK35" s="27"/>
    </row>
    <row r="36" spans="1:37">
      <c r="AG36" s="27"/>
      <c r="AH36" s="27"/>
      <c r="AK36" s="27"/>
    </row>
    <row r="37" spans="1:37">
      <c r="AG37" s="27"/>
      <c r="AH37" s="27"/>
      <c r="AK37" s="27"/>
    </row>
    <row r="38" spans="1:37">
      <c r="AG38" s="27"/>
      <c r="AH38" s="27"/>
      <c r="AK38" s="27"/>
    </row>
    <row r="39" spans="1:37">
      <c r="AG39" s="27"/>
      <c r="AH39" s="27"/>
      <c r="AK39" s="27"/>
    </row>
    <row r="40" spans="1:37">
      <c r="AG40" s="27"/>
      <c r="AH40" s="27"/>
      <c r="AK40" s="27"/>
    </row>
    <row r="41" spans="1:37">
      <c r="AG41" s="27"/>
      <c r="AH41" s="27"/>
      <c r="AK41" s="27"/>
    </row>
    <row r="42" spans="1:37">
      <c r="AG42" s="27"/>
      <c r="AH42" s="27"/>
      <c r="AK42" s="27"/>
    </row>
    <row r="43" spans="1:37">
      <c r="AG43" s="27"/>
      <c r="AH43" s="27"/>
      <c r="AK43" s="27"/>
    </row>
    <row r="44" spans="1:37">
      <c r="AG44" s="27"/>
      <c r="AH44" s="27"/>
      <c r="AK44" s="27"/>
    </row>
    <row r="45" spans="1:37">
      <c r="AG45" s="27"/>
      <c r="AH45" s="27"/>
      <c r="AK45" s="27"/>
    </row>
    <row r="46" spans="1:37">
      <c r="AG46" s="27"/>
      <c r="AH46" s="27"/>
      <c r="AK46" s="27"/>
    </row>
    <row r="47" spans="1:37">
      <c r="AG47" s="27"/>
      <c r="AH47" s="27"/>
      <c r="AK47" s="27"/>
    </row>
    <row r="48" spans="1:37">
      <c r="AG48" s="27"/>
      <c r="AH48" s="27"/>
      <c r="AK48" s="27"/>
    </row>
    <row r="49" spans="33:37">
      <c r="AG49" s="27"/>
      <c r="AH49" s="27"/>
      <c r="AK49" s="27"/>
    </row>
    <row r="50" spans="33:37">
      <c r="AG50" s="27"/>
      <c r="AH50" s="27"/>
      <c r="AK50" s="27"/>
    </row>
    <row r="51" spans="33:37">
      <c r="AG51" s="27"/>
      <c r="AH51" s="27"/>
      <c r="AK51" s="27"/>
    </row>
    <row r="52" spans="33:37">
      <c r="AG52" s="27"/>
      <c r="AH52" s="27"/>
      <c r="AK52" s="27"/>
    </row>
    <row r="53" spans="33:37">
      <c r="AG53" s="27"/>
      <c r="AH53" s="27"/>
      <c r="AK53" s="27"/>
    </row>
    <row r="54" spans="33:37">
      <c r="AG54" s="27"/>
      <c r="AH54" s="27"/>
      <c r="AK54" s="27"/>
    </row>
    <row r="55" spans="33:37">
      <c r="AG55" s="27"/>
      <c r="AH55" s="27"/>
      <c r="AK55" s="27"/>
    </row>
    <row r="56" spans="33:37">
      <c r="AG56" s="27"/>
      <c r="AH56" s="27"/>
      <c r="AK56" s="27"/>
    </row>
    <row r="57" spans="33:37">
      <c r="AG57" s="27"/>
      <c r="AH57" s="27"/>
      <c r="AK57" s="27"/>
    </row>
    <row r="58" spans="33:37">
      <c r="AG58" s="27"/>
      <c r="AH58" s="27"/>
      <c r="AK58" s="27"/>
    </row>
    <row r="59" spans="33:37">
      <c r="AG59" s="27"/>
      <c r="AH59" s="27"/>
      <c r="AK59" s="27"/>
    </row>
    <row r="60" spans="33:37">
      <c r="AG60" s="27"/>
      <c r="AH60" s="27"/>
      <c r="AK60" s="27"/>
    </row>
    <row r="61" spans="33:37">
      <c r="AG61" s="27"/>
      <c r="AH61" s="27"/>
      <c r="AK61" s="27"/>
    </row>
    <row r="62" spans="33:37">
      <c r="AG62" s="27"/>
      <c r="AH62" s="27"/>
      <c r="AK62" s="27"/>
    </row>
    <row r="63" spans="33:37">
      <c r="AG63" s="27"/>
      <c r="AH63" s="27"/>
      <c r="AK63" s="27"/>
    </row>
    <row r="64" spans="33:37">
      <c r="AG64" s="27"/>
      <c r="AH64" s="27"/>
      <c r="AK64" s="27"/>
    </row>
    <row r="65" spans="33:37">
      <c r="AG65" s="27"/>
      <c r="AH65" s="27"/>
      <c r="AK65" s="27"/>
    </row>
    <row r="66" spans="33:37">
      <c r="AG66" s="27"/>
      <c r="AH66" s="27"/>
      <c r="AK66" s="27"/>
    </row>
    <row r="67" spans="33:37">
      <c r="AG67" s="27"/>
      <c r="AH67" s="27"/>
      <c r="AK67" s="27"/>
    </row>
    <row r="68" spans="33:37">
      <c r="AG68" s="27"/>
      <c r="AH68" s="27"/>
      <c r="AK68" s="27"/>
    </row>
    <row r="69" spans="33:37">
      <c r="AG69" s="27"/>
      <c r="AH69" s="27"/>
      <c r="AK69" s="27"/>
    </row>
    <row r="70" spans="33:37">
      <c r="AG70" s="27"/>
      <c r="AH70" s="27"/>
      <c r="AK70" s="27"/>
    </row>
    <row r="71" spans="33:37">
      <c r="AG71" s="27"/>
      <c r="AH71" s="27"/>
      <c r="AK71" s="27"/>
    </row>
    <row r="72" spans="33:37">
      <c r="AG72" s="27"/>
      <c r="AH72" s="27"/>
      <c r="AK72" s="27"/>
    </row>
    <row r="73" spans="33:37">
      <c r="AG73" s="27"/>
      <c r="AH73" s="27"/>
      <c r="AK73" s="27"/>
    </row>
    <row r="74" spans="33:37">
      <c r="AG74" s="27"/>
      <c r="AH74" s="27"/>
      <c r="AK74" s="27"/>
    </row>
    <row r="75" spans="33:37">
      <c r="AG75" s="27"/>
      <c r="AH75" s="27"/>
      <c r="AK75" s="27"/>
    </row>
    <row r="76" spans="33:37">
      <c r="AG76" s="27"/>
      <c r="AH76" s="27"/>
      <c r="AK76" s="27"/>
    </row>
    <row r="77" spans="33:37">
      <c r="AG77" s="27"/>
      <c r="AH77" s="27"/>
      <c r="AK77" s="27"/>
    </row>
    <row r="78" spans="33:37">
      <c r="AG78" s="27"/>
      <c r="AH78" s="27"/>
      <c r="AK78" s="27"/>
    </row>
    <row r="79" spans="33:37">
      <c r="AG79" s="27"/>
      <c r="AH79" s="27"/>
      <c r="AK79" s="27"/>
    </row>
    <row r="80" spans="33:37">
      <c r="AG80" s="27"/>
      <c r="AH80" s="27"/>
      <c r="AK80" s="27"/>
    </row>
    <row r="81" spans="33:37">
      <c r="AG81" s="27"/>
      <c r="AH81" s="27"/>
      <c r="AK81" s="27"/>
    </row>
    <row r="82" spans="33:37">
      <c r="AG82" s="27"/>
      <c r="AH82" s="27"/>
      <c r="AK82" s="27"/>
    </row>
    <row r="83" spans="33:37">
      <c r="AG83" s="27"/>
      <c r="AH83" s="27"/>
      <c r="AK83" s="27"/>
    </row>
    <row r="84" spans="33:37">
      <c r="AG84" s="27"/>
      <c r="AH84" s="27"/>
      <c r="AK84" s="27"/>
    </row>
    <row r="85" spans="33:37">
      <c r="AG85" s="27"/>
      <c r="AH85" s="27"/>
      <c r="AK85" s="27"/>
    </row>
    <row r="86" spans="33:37">
      <c r="AG86" s="27"/>
      <c r="AH86" s="27"/>
      <c r="AK86" s="27"/>
    </row>
    <row r="87" spans="33:37">
      <c r="AG87" s="27"/>
      <c r="AH87" s="27"/>
      <c r="AK87" s="27"/>
    </row>
    <row r="88" spans="33:37">
      <c r="AG88" s="27"/>
      <c r="AH88" s="27"/>
      <c r="AK88" s="27"/>
    </row>
    <row r="89" spans="33:37">
      <c r="AG89" s="27"/>
      <c r="AH89" s="27"/>
      <c r="AK89" s="27"/>
    </row>
    <row r="90" spans="33:37">
      <c r="AG90" s="27"/>
      <c r="AH90" s="27"/>
      <c r="AK90" s="27"/>
    </row>
    <row r="91" spans="33:37">
      <c r="AG91" s="27"/>
      <c r="AH91" s="27"/>
      <c r="AK91" s="27"/>
    </row>
    <row r="92" spans="33:37">
      <c r="AG92" s="27"/>
      <c r="AH92" s="27"/>
      <c r="AK92" s="27"/>
    </row>
    <row r="93" spans="33:37">
      <c r="AG93" s="27"/>
      <c r="AH93" s="27"/>
      <c r="AK93" s="27"/>
    </row>
    <row r="94" spans="33:37">
      <c r="AG94" s="27"/>
      <c r="AH94" s="27"/>
      <c r="AK94" s="27"/>
    </row>
    <row r="95" spans="33:37">
      <c r="AG95" s="27"/>
      <c r="AH95" s="27"/>
      <c r="AK95" s="27"/>
    </row>
    <row r="96" spans="33:37">
      <c r="AG96" s="27"/>
      <c r="AH96" s="27"/>
      <c r="AK96" s="27"/>
    </row>
    <row r="97" spans="33:37">
      <c r="AG97" s="27"/>
      <c r="AH97" s="27"/>
      <c r="AK97" s="27"/>
    </row>
    <row r="98" spans="33:37">
      <c r="AG98" s="27"/>
      <c r="AH98" s="27"/>
      <c r="AK98" s="27"/>
    </row>
    <row r="99" spans="33:37">
      <c r="AG99" s="27"/>
      <c r="AH99" s="27"/>
      <c r="AK99" s="27"/>
    </row>
    <row r="100" spans="33:37">
      <c r="AG100" s="27"/>
      <c r="AH100" s="27"/>
      <c r="AK100" s="27"/>
    </row>
    <row r="101" spans="33:37">
      <c r="AG101" s="27"/>
      <c r="AH101" s="27"/>
      <c r="AK101" s="27"/>
    </row>
    <row r="102" spans="33:37">
      <c r="AG102" s="27"/>
      <c r="AH102" s="27"/>
      <c r="AK102" s="27"/>
    </row>
    <row r="103" spans="33:37">
      <c r="AG103" s="27"/>
      <c r="AH103" s="27"/>
      <c r="AK103" s="27"/>
    </row>
    <row r="104" spans="33:37">
      <c r="AG104" s="27"/>
      <c r="AH104" s="27"/>
      <c r="AK104" s="27"/>
    </row>
    <row r="105" spans="33:37">
      <c r="AG105" s="27"/>
      <c r="AH105" s="27"/>
      <c r="AK105" s="27"/>
    </row>
    <row r="106" spans="33:37">
      <c r="AG106" s="27"/>
      <c r="AH106" s="27"/>
      <c r="AK106" s="27"/>
    </row>
    <row r="107" spans="33:37">
      <c r="AG107" s="27"/>
      <c r="AH107" s="27"/>
      <c r="AK107" s="27"/>
    </row>
    <row r="108" spans="33:37">
      <c r="AG108" s="27"/>
      <c r="AH108" s="27"/>
      <c r="AK108" s="27"/>
    </row>
    <row r="109" spans="33:37">
      <c r="AG109" s="27"/>
      <c r="AH109" s="27"/>
      <c r="AK109" s="27"/>
    </row>
    <row r="110" spans="33:37">
      <c r="AG110" s="27"/>
      <c r="AH110" s="27"/>
      <c r="AK110" s="27"/>
    </row>
    <row r="111" spans="33:37">
      <c r="AG111" s="27"/>
      <c r="AH111" s="27"/>
      <c r="AK111" s="27"/>
    </row>
    <row r="112" spans="33:37">
      <c r="AG112" s="27"/>
      <c r="AH112" s="27"/>
      <c r="AK112" s="27"/>
    </row>
    <row r="113" spans="33:37">
      <c r="AG113" s="27"/>
      <c r="AH113" s="27"/>
      <c r="AK113" s="27"/>
    </row>
    <row r="114" spans="33:37">
      <c r="AG114" s="27"/>
      <c r="AH114" s="27"/>
      <c r="AK114" s="27"/>
    </row>
    <row r="115" spans="33:37">
      <c r="AG115" s="27"/>
      <c r="AH115" s="27"/>
      <c r="AK115" s="27"/>
    </row>
    <row r="116" spans="33:37">
      <c r="AG116" s="27"/>
      <c r="AH116" s="27"/>
      <c r="AK116" s="27"/>
    </row>
    <row r="117" spans="33:37">
      <c r="AG117" s="27"/>
      <c r="AH117" s="27"/>
      <c r="AK117" s="27"/>
    </row>
    <row r="118" spans="33:37">
      <c r="AG118" s="27"/>
      <c r="AH118" s="27"/>
      <c r="AK118" s="27"/>
    </row>
    <row r="119" spans="33:37">
      <c r="AG119" s="27"/>
      <c r="AH119" s="27"/>
      <c r="AK119" s="27"/>
    </row>
    <row r="120" spans="33:37">
      <c r="AG120" s="27"/>
      <c r="AH120" s="27"/>
      <c r="AK120" s="27"/>
    </row>
    <row r="121" spans="33:37">
      <c r="AG121" s="27"/>
      <c r="AH121" s="27"/>
      <c r="AK121" s="27"/>
    </row>
    <row r="122" spans="33:37">
      <c r="AG122" s="27"/>
      <c r="AH122" s="27"/>
      <c r="AK122" s="27"/>
    </row>
    <row r="123" spans="33:37">
      <c r="AG123" s="27"/>
      <c r="AH123" s="27"/>
      <c r="AK123" s="27"/>
    </row>
    <row r="124" spans="33:37">
      <c r="AG124" s="27"/>
      <c r="AH124" s="27"/>
      <c r="AK124" s="27"/>
    </row>
    <row r="125" spans="33:37">
      <c r="AG125" s="27"/>
      <c r="AH125" s="27"/>
      <c r="AK125" s="27"/>
    </row>
    <row r="126" spans="33:37">
      <c r="AG126" s="27"/>
      <c r="AH126" s="27"/>
      <c r="AK126" s="27"/>
    </row>
    <row r="127" spans="33:37">
      <c r="AG127" s="27"/>
      <c r="AH127" s="27"/>
      <c r="AK127" s="27"/>
    </row>
    <row r="128" spans="33:37">
      <c r="AG128" s="27"/>
      <c r="AH128" s="27"/>
      <c r="AK128" s="27"/>
    </row>
    <row r="129" spans="33:37">
      <c r="AG129" s="27"/>
      <c r="AH129" s="27"/>
      <c r="AK129" s="27"/>
    </row>
    <row r="130" spans="33:37">
      <c r="AG130" s="27"/>
      <c r="AH130" s="27"/>
      <c r="AK130" s="27"/>
    </row>
    <row r="131" spans="33:37">
      <c r="AG131" s="27"/>
      <c r="AH131" s="27"/>
      <c r="AK131" s="27"/>
    </row>
    <row r="132" spans="33:37">
      <c r="AG132" s="27"/>
      <c r="AH132" s="27"/>
      <c r="AK132" s="27"/>
    </row>
    <row r="133" spans="33:37">
      <c r="AG133" s="27"/>
      <c r="AH133" s="27"/>
      <c r="AK133" s="27"/>
    </row>
    <row r="134" spans="33:37">
      <c r="AG134" s="27"/>
      <c r="AH134" s="27"/>
      <c r="AK134" s="27"/>
    </row>
    <row r="135" spans="33:37">
      <c r="AG135" s="27"/>
      <c r="AH135" s="27"/>
      <c r="AK135" s="27"/>
    </row>
    <row r="136" spans="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 s="27"/>
      <c r="AH138" s="27"/>
      <c r="AK138" s="27"/>
    </row>
    <row r="139" spans="33:37">
      <c r="AG139" s="27"/>
      <c r="AH139" s="27"/>
      <c r="AK139" s="27"/>
    </row>
    <row r="140" spans="33:37">
      <c r="AG140" s="27"/>
      <c r="AH140" s="27"/>
      <c r="AK140" s="27"/>
    </row>
    <row r="141" spans="33:37">
      <c r="AG141" s="27"/>
      <c r="AH141" s="27"/>
      <c r="AK141" s="27"/>
    </row>
    <row r="142" spans="33:37">
      <c r="AG142" s="27"/>
      <c r="AH142" s="27"/>
      <c r="AK142" s="27"/>
    </row>
    <row r="143" spans="33:37">
      <c r="AG143" s="27"/>
      <c r="AH143" s="27"/>
      <c r="AK143" s="27"/>
    </row>
    <row r="144" spans="33:37">
      <c r="AG144" s="27"/>
      <c r="AH144" s="27"/>
      <c r="AK144" s="27"/>
    </row>
    <row r="145" spans="33:37">
      <c r="AG145" s="27"/>
      <c r="AH145" s="27"/>
      <c r="AK145" s="27"/>
    </row>
    <row r="146" spans="33:37">
      <c r="AG146" s="27"/>
      <c r="AH146" s="27"/>
      <c r="AK146" s="27"/>
    </row>
    <row r="147" spans="33:37">
      <c r="AG147" s="27"/>
      <c r="AH147" s="27"/>
      <c r="AK147" s="27"/>
    </row>
    <row r="148" spans="33:37">
      <c r="AG148" s="27"/>
      <c r="AH148" s="27"/>
      <c r="AK148" s="27"/>
    </row>
    <row r="149" spans="33:37">
      <c r="AG149" s="27"/>
      <c r="AH149" s="27"/>
      <c r="AK149" s="27"/>
    </row>
    <row r="150" spans="33:37">
      <c r="AG150" s="27"/>
      <c r="AH150" s="27"/>
      <c r="AK150" s="27"/>
    </row>
    <row r="151" spans="33:37">
      <c r="AG151" s="27"/>
      <c r="AH151" s="27"/>
      <c r="AK151" s="27"/>
    </row>
    <row r="152" spans="33:37">
      <c r="AG152" s="27"/>
      <c r="AH152" s="27"/>
      <c r="AK152" s="27"/>
    </row>
    <row r="153" spans="33:37">
      <c r="AG153" s="27"/>
      <c r="AH153" s="27"/>
      <c r="AK153" s="27"/>
    </row>
    <row r="154" spans="33:37">
      <c r="AG154" s="27"/>
      <c r="AH154" s="27"/>
      <c r="AK154" s="27"/>
    </row>
    <row r="155" spans="33:37">
      <c r="AG155" s="27"/>
      <c r="AH155" s="27"/>
      <c r="AK155" s="27"/>
    </row>
    <row r="156" spans="33:37">
      <c r="AG156" s="27"/>
      <c r="AH156" s="27"/>
      <c r="AK156" s="27"/>
    </row>
    <row r="157" spans="33:37">
      <c r="AG157" s="27"/>
      <c r="AH157" s="27"/>
      <c r="AK157" s="27"/>
    </row>
    <row r="158" spans="33:37">
      <c r="AG158" s="27"/>
      <c r="AH158" s="27"/>
      <c r="AK158" s="27"/>
    </row>
    <row r="159" spans="33:37">
      <c r="AG159" s="27"/>
      <c r="AH159" s="27"/>
      <c r="AK159" s="27"/>
    </row>
    <row r="160" spans="33:37">
      <c r="AG160" s="27"/>
      <c r="AH160" s="27"/>
      <c r="AK160" s="27"/>
    </row>
    <row r="161" spans="33:37">
      <c r="AG161" s="27"/>
      <c r="AH161" s="27"/>
      <c r="AK161" s="27"/>
    </row>
    <row r="162" spans="33:37">
      <c r="AG162" s="27"/>
      <c r="AH162" s="27"/>
      <c r="AK162" s="27"/>
    </row>
    <row r="163" spans="33:37">
      <c r="AG163" s="27"/>
      <c r="AH163" s="27"/>
      <c r="AK163" s="27"/>
    </row>
    <row r="164" spans="33:37">
      <c r="AG164" s="27"/>
      <c r="AH164" s="27"/>
      <c r="AK164" s="27"/>
    </row>
    <row r="165" spans="33:37">
      <c r="AG165" s="27"/>
      <c r="AH165" s="27"/>
      <c r="AK165" s="27"/>
    </row>
    <row r="166" spans="33:37">
      <c r="AG166" s="27"/>
      <c r="AH166" s="27"/>
      <c r="AK166" s="27"/>
    </row>
    <row r="167" spans="33:37">
      <c r="AG167" s="27"/>
      <c r="AH167" s="27"/>
      <c r="AK167" s="27"/>
    </row>
    <row r="168" spans="33:37">
      <c r="AG168" s="27"/>
      <c r="AH168" s="27"/>
      <c r="AK168" s="27"/>
    </row>
    <row r="169" spans="33:37">
      <c r="AG169" s="27"/>
      <c r="AH169" s="27"/>
      <c r="AK169" s="27"/>
    </row>
    <row r="170" spans="33:37">
      <c r="AG170" s="27"/>
      <c r="AH170" s="27"/>
      <c r="AK170" s="27"/>
    </row>
    <row r="171" spans="33:37">
      <c r="AG171" s="27"/>
      <c r="AH171" s="27"/>
      <c r="AK171" s="27"/>
    </row>
    <row r="172" spans="33:37">
      <c r="AG172" s="27"/>
      <c r="AH172" s="27"/>
      <c r="AK172" s="27"/>
    </row>
    <row r="173" spans="33:37">
      <c r="AG173" s="27"/>
      <c r="AH173" s="27"/>
      <c r="AK173" s="27"/>
    </row>
    <row r="174" spans="33:37">
      <c r="AG174" s="27"/>
      <c r="AH174" s="27"/>
      <c r="AK174" s="27"/>
    </row>
    <row r="175" spans="33:37">
      <c r="AG175" s="27"/>
      <c r="AH175" s="27"/>
      <c r="AK175" s="27"/>
    </row>
    <row r="176" spans="33:37">
      <c r="AG176" s="27"/>
      <c r="AH176" s="27"/>
      <c r="AK176" s="27"/>
    </row>
    <row r="177" spans="33:37">
      <c r="AG177" s="27"/>
      <c r="AH177" s="27"/>
      <c r="AK177" s="27"/>
    </row>
    <row r="178" spans="33:37">
      <c r="AG178" s="27"/>
      <c r="AH178" s="27"/>
      <c r="AK178" s="27"/>
    </row>
    <row r="179" spans="33:37">
      <c r="AG179" s="27"/>
      <c r="AH179" s="27"/>
      <c r="AK179" s="27"/>
    </row>
    <row r="180" spans="33:37">
      <c r="AG180" s="27"/>
      <c r="AH180" s="27"/>
      <c r="AK180" s="27"/>
    </row>
    <row r="181" spans="33:37">
      <c r="AG181" s="27"/>
      <c r="AH181" s="27"/>
      <c r="AK181" s="27"/>
    </row>
    <row r="182" spans="33:37">
      <c r="AG182" s="27"/>
      <c r="AH182" s="27"/>
      <c r="AK182" s="27"/>
    </row>
    <row r="183" spans="33:37">
      <c r="AG183" s="27"/>
      <c r="AH183" s="27"/>
      <c r="AK183" s="27"/>
    </row>
    <row r="184" spans="33:37">
      <c r="AG184" s="27"/>
      <c r="AH184" s="27"/>
      <c r="AK184" s="27"/>
    </row>
    <row r="185" spans="33:37">
      <c r="AG185" s="27"/>
      <c r="AH185" s="27"/>
      <c r="AK185" s="27"/>
    </row>
    <row r="186" spans="33:37">
      <c r="AG186" s="27"/>
      <c r="AH186" s="27"/>
      <c r="AK186" s="27"/>
    </row>
    <row r="187" spans="33:37">
      <c r="AG187" s="27"/>
      <c r="AH187" s="27"/>
      <c r="AK187" s="27"/>
    </row>
    <row r="188" spans="33:37">
      <c r="AG188" s="27"/>
      <c r="AH188" s="27"/>
      <c r="AK188" s="27"/>
    </row>
    <row r="189" spans="33:37">
      <c r="AG189" s="27"/>
      <c r="AH189" s="27"/>
      <c r="AK189" s="27"/>
    </row>
    <row r="190" spans="33:37">
      <c r="AG190" s="27"/>
      <c r="AH190" s="27"/>
      <c r="AK190" s="27"/>
    </row>
    <row r="191" spans="33:37">
      <c r="AG191" s="27"/>
      <c r="AH191" s="27"/>
      <c r="AK191" s="27"/>
    </row>
    <row r="192" spans="33:37">
      <c r="AG192" s="27"/>
      <c r="AH192" s="27"/>
      <c r="AK192" s="27"/>
    </row>
    <row r="193" spans="33:37">
      <c r="AG193" s="27"/>
      <c r="AH193" s="27"/>
      <c r="AK193" s="27"/>
    </row>
    <row r="194" spans="33:37">
      <c r="AG194" s="27"/>
      <c r="AH194" s="27"/>
      <c r="AK194" s="27"/>
    </row>
    <row r="195" spans="33:37">
      <c r="AG195" s="27"/>
      <c r="AH195" s="27"/>
      <c r="AK195" s="27"/>
    </row>
    <row r="196" spans="33:37">
      <c r="AG196" s="27"/>
      <c r="AH196" s="27"/>
      <c r="AK196" s="27"/>
    </row>
    <row r="197" spans="33:37">
      <c r="AG197" s="27"/>
      <c r="AH197" s="27"/>
      <c r="AK197" s="27"/>
    </row>
    <row r="198" spans="33:37">
      <c r="AG198" s="27"/>
      <c r="AH198" s="27"/>
      <c r="AK198" s="27"/>
    </row>
    <row r="199" spans="33:37">
      <c r="AG199" s="27"/>
      <c r="AH199" s="27"/>
      <c r="AK199" s="27"/>
    </row>
    <row r="200" spans="33:37">
      <c r="AG200" s="27"/>
      <c r="AH200" s="27"/>
      <c r="AK200" s="27"/>
    </row>
  </sheetData>
  <sheetProtection sheet="1" objects="1" scenarios="1"/>
  <mergeCells count="2">
    <mergeCell ref="M2:U2"/>
    <mergeCell ref="M4:U4"/>
  </mergeCells>
  <conditionalFormatting sqref="A19:L1048576">
    <cfRule type="expression" dxfId="9" priority="1">
      <formula>$I19="INVALID"</formula>
    </cfRule>
  </conditionalFormatting>
  <conditionalFormatting sqref="I19:I1048576">
    <cfRule type="expression" dxfId="8" priority="2">
      <formula>$I19="AFTER DATE"</formula>
    </cfRule>
  </conditionalFormatting>
  <conditionalFormatting sqref="U19:U1048576">
    <cfRule type="expression" dxfId="7" priority="3">
      <formula>$U19&lt;&gt;"OK"</formula>
    </cfRule>
  </conditionalFormatting>
  <conditionalFormatting sqref="A13:B13">
    <cfRule type="expression" dxfId="6" priority="4">
      <formula>$B$13&lt;&gt;"PASS"</formula>
    </cfRule>
  </conditionalFormatting>
  <hyperlinks>
    <hyperlink ref="D4" location="'HODASSA Review'!B2" display="Back to dashboard" xr:uid="{3F9BD0CF-7033-47DC-B57A-6F870A18534D}"/>
    <hyperlink ref="F4" location="'HODASSA Costs'!A6" display="Edit costs" xr:uid="{754D5F4F-4BA2-45DD-9377-A9B8135110BA}"/>
    <hyperlink ref="H4" location="'HODASSA Projects'!A6" display="Edit projects" xr:uid="{1597B61D-DB9A-432C-89E2-61D111602928}"/>
    <hyperlink ref="J4" location="'HODASSA Checks'!M18" display="Project audit →" xr:uid="{C8B8BB14-9913-41DA-B073-BEA371092B1C}"/>
    <hyperlink ref="L4" location="'HODASSA Checks'!M2" display="Version notes →" xr:uid="{4991E467-2A37-47B4-A210-AA9F87A8D24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F1C1-8124-4270-A2C7-E7D0CC2C4D32}">
  <dimension ref="A2:F25"/>
  <sheetViews>
    <sheetView showGridLines="0" workbookViewId="0">
      <selection activeCell="N15" sqref="N15"/>
    </sheetView>
  </sheetViews>
  <sheetFormatPr defaultRowHeight="13.8"/>
  <cols>
    <col min="1" max="1" width="40.796875" customWidth="1"/>
    <col min="2" max="4" width="20" customWidth="1"/>
    <col min="5" max="5" width="14.19921875" customWidth="1"/>
    <col min="6" max="6" width="45" customWidth="1"/>
  </cols>
  <sheetData>
    <row r="2" spans="1:6" ht="22.8">
      <c r="A2" s="47" t="s">
        <v>170</v>
      </c>
      <c r="B2" s="47"/>
      <c r="C2" s="47"/>
      <c r="D2" s="47"/>
      <c r="E2" s="47"/>
      <c r="F2" s="47"/>
    </row>
    <row r="3" spans="1:6">
      <c r="A3" s="46" t="s">
        <v>171</v>
      </c>
      <c r="B3" s="46"/>
      <c r="C3" s="46"/>
      <c r="D3" s="46"/>
      <c r="E3" s="46"/>
      <c r="F3" s="46"/>
    </row>
    <row r="4" spans="1:6" ht="25.05" customHeight="1">
      <c r="A4" s="45" t="s">
        <v>183</v>
      </c>
      <c r="B4" s="54" t="str">
        <f>IF(AND(COUNTIF(E8:E19,"PASS")=ROWS(E8:E19),'HODASSA Calculations'!B13="PASS"),"PASS","REVIEW REQUIRED")</f>
        <v>PASS</v>
      </c>
      <c r="C4" s="45"/>
      <c r="D4" s="45"/>
      <c r="E4" s="45"/>
      <c r="F4" s="11" t="s">
        <v>88</v>
      </c>
    </row>
    <row r="5" spans="1:6" ht="25.05" customHeight="1">
      <c r="A5" s="45" t="s">
        <v>184</v>
      </c>
      <c r="B5" s="46" t="str" cm="1">
        <f t="array" ref="B5">IF(COUNTIF(E8:E19,"FAIL")&gt;0,_xlfn.TEXTJOIN("; ",TRUE,_xlfn._xlws.FILTER(A8:A19,E8:E19="FAIL","None")),IF('HODASSA Calculations'!B13="PASS","None","Resolve input issues in Calculations"))</f>
        <v>None</v>
      </c>
      <c r="C5" s="46"/>
      <c r="D5" s="46"/>
      <c r="E5" s="46"/>
      <c r="F5" s="46"/>
    </row>
    <row r="6" spans="1:6">
      <c r="A6" s="45"/>
      <c r="B6" s="45"/>
      <c r="C6" s="45"/>
      <c r="D6" s="45"/>
      <c r="E6" s="45"/>
      <c r="F6" s="45"/>
    </row>
    <row r="7" spans="1:6" ht="27" customHeight="1">
      <c r="A7" s="48" t="s">
        <v>185</v>
      </c>
      <c r="B7" s="48" t="s">
        <v>186</v>
      </c>
      <c r="C7" s="48" t="s">
        <v>187</v>
      </c>
      <c r="D7" s="48" t="s">
        <v>188</v>
      </c>
      <c r="E7" s="48" t="s">
        <v>109</v>
      </c>
      <c r="F7" s="48" t="s">
        <v>189</v>
      </c>
    </row>
    <row r="8" spans="1:6" ht="27" customHeight="1">
      <c r="A8" s="45" t="s">
        <v>190</v>
      </c>
      <c r="B8" s="45">
        <f>ROWS(hdProjects[Job ID])</f>
        <v>5</v>
      </c>
      <c r="C8" s="45">
        <f>ROWS(_xlfn.ANCHORARRAY('HODASSA Calculations'!M19))</f>
        <v>5</v>
      </c>
      <c r="D8" s="45">
        <f>IF(AND(ISNUMBER(B8),ISNUMBER(C8)),C8-B8,IF(B8=C8,0,"MISMATCH"))</f>
        <v>0</v>
      </c>
      <c r="E8" s="45" t="str">
        <f>IF(ISNUMBER(D8),IF(ABS(D8)&lt;0.000001,"PASS","FAIL"),"FAIL")</f>
        <v>PASS</v>
      </c>
      <c r="F8" s="45" t="s">
        <v>191</v>
      </c>
    </row>
    <row r="9" spans="1:6" ht="27" customHeight="1">
      <c r="A9" s="45" t="s">
        <v>192</v>
      </c>
      <c r="B9" s="45">
        <f>ROWS(hdCosts[Cost ID])</f>
        <v>15</v>
      </c>
      <c r="C9" s="45">
        <f>ROWS(_xlfn.ANCHORARRAY('HODASSA Calculations'!A19))</f>
        <v>15</v>
      </c>
      <c r="D9" s="45">
        <f>IF(AND(ISNUMBER(B9),ISNUMBER(C9)),C9-B9,IF(B9=C9,0,"MISMATCH"))</f>
        <v>0</v>
      </c>
      <c r="E9" s="45" t="str">
        <f>IF(ISNUMBER(D9),IF(ABS(D9)&lt;0.000001,"PASS","FAIL"),"FAIL")</f>
        <v>PASS</v>
      </c>
      <c r="F9" s="45" t="s">
        <v>193</v>
      </c>
    </row>
    <row r="10" spans="1:6" ht="27" customHeight="1">
      <c r="A10" s="45" t="s">
        <v>194</v>
      </c>
      <c r="B10" s="45">
        <f>IFERROR(--AND(ISNUMBER('HODASSA Review'!D4),'HODASSA Review'!D4=INT('HODASSA Review'!D4),'HODASSA Review'!D4&gt;=1,'HODASSA Review'!D4&lt;=DATE(9999,12,31)),0)</f>
        <v>1</v>
      </c>
      <c r="C10" s="45" cm="1">
        <f t="array" ref="C10">--hdDateValid</f>
        <v>1</v>
      </c>
      <c r="D10" s="45">
        <f>IF(AND(ISNUMBER(B10),ISNUMBER(C10)),C10-B10,IF(B10=C10,0,"MISMATCH"))</f>
        <v>0</v>
      </c>
      <c r="E10" s="45" t="str">
        <f>IF(ISNUMBER(D10),IF(ABS(D10)&lt;0.000001,"PASS","FAIL"),"FAIL")</f>
        <v>PASS</v>
      </c>
      <c r="F10" s="45" t="s">
        <v>195</v>
      </c>
    </row>
    <row r="11" spans="1:6" ht="27" customHeight="1">
      <c r="A11" s="45" t="s">
        <v>196</v>
      </c>
      <c r="B11" s="49" cm="1">
        <f t="array" ref="B11">_xlfn.LET(_xlpm.id,hdCosts[Cost ID],_xlpm.dt,hdCosts[Date],_xlpm.j,hdCosts[Job ID],_xlpm.ds,hdCosts[Description],_xlpm.q,hdCosts[Quantity],_xlpm.r,hdCosts[Rate GBP],_xlpm.valid,IFERROR((LEN(TRIM(_xlpm.id&amp;""))&gt;0)*(_xlpm.id&amp;""=TRIM(_xlpm.id&amp;""))*(COUNTIF(hdCosts[Cost ID],_xlpm.id)=1)*ISERROR(SEARCH("~*",_xlpm.id&amp;""))*ISERROR(SEARCH("~?",_xlpm.id&amp;""))*ISERROR(SEARCH("~~",_xlpm.id&amp;""))*(LEN(TRIM(_xlpm.j&amp;""))&gt;0)*ISERROR(SEARCH("~*",_xlpm.j&amp;""))*ISERROR(SEARCH("~?",_xlpm.j&amp;""))*ISERROR(SEARCH("~~",_xlpm.j&amp;""))*(COUNTIF(hdProjects[Job ID],_xlpm.j)=1)*(LEN(TRIM(_xlpm.ds&amp;""))&gt;0)*ISNUMBER(_xlpm.dt)*(_xlpm.dt&gt;=1)*(_xlpm.dt&lt;=DATE(9999,12,31))*(_xlpm.dt=INT(_xlpm.dt))*(_xlpm.dt&lt;=hdReportDate)*ISNUMBER(_xlpm.q)*(_xlpm.q&gt;0)*ISNUMBER(_xlpm.r)*(_xlpm.r&gt;=0),0),IF(B10=1,SUMPRODUCT(_xlpm.valid,IFERROR(ROUND(_xlpm.q*_xlpm.r,2),0)),0))</f>
        <v>392500</v>
      </c>
      <c r="C11" s="49">
        <f>SUM(_xlfn.ANCHORARRAY('HODASSA Calculations'!K19))</f>
        <v>392500</v>
      </c>
      <c r="D11" s="49">
        <f>IF(AND(ISNUMBER(B11),ISNUMBER(C11)),C11-B11,IF(B11=C11,0,"MISMATCH"))</f>
        <v>0</v>
      </c>
      <c r="E11" s="45" t="str">
        <f>IF(ISNUMBER(D11),IF(ABS(D11)&lt;0.000001,"PASS","FAIL"),"FAIL")</f>
        <v>PASS</v>
      </c>
      <c r="F11" s="45" t="s">
        <v>197</v>
      </c>
    </row>
    <row r="12" spans="1:6" ht="27" customHeight="1">
      <c r="A12" s="45" t="s">
        <v>198</v>
      </c>
      <c r="B12" s="49">
        <f>B11</f>
        <v>392500</v>
      </c>
      <c r="C12" s="49">
        <f>SUM(_xlfn.ANCHORARRAY('HODASSA Calculations'!W19))</f>
        <v>392500</v>
      </c>
      <c r="D12" s="49">
        <f>IF(AND(ISNUMBER(B12),ISNUMBER(C12)),C12-B12,IF(B12=C12,0,"MISMATCH"))</f>
        <v>0</v>
      </c>
      <c r="E12" s="45" t="str">
        <f>IF(ISNUMBER(D12),IF(ABS(D12)&lt;0.000001,"PASS","FAIL"),"FAIL")</f>
        <v>PASS</v>
      </c>
      <c r="F12" s="45" t="s">
        <v>199</v>
      </c>
    </row>
    <row r="13" spans="1:6" ht="27" customHeight="1">
      <c r="A13" s="45" t="s">
        <v>200</v>
      </c>
      <c r="B13" s="49">
        <f>IF('HODASSA Calculations'!B13="PASS",B11+SUM(hdProjects[Open POs GBP])+SUM(hdProjects[Unplaced ETC]),"BLOCKED")</f>
        <v>777600</v>
      </c>
      <c r="C13" s="49">
        <f>'HODASSA Calculations'!P7</f>
        <v>777600</v>
      </c>
      <c r="D13" s="49">
        <f>IF(AND(ISNUMBER(B13),ISNUMBER(C13)),C13-B13,IF(B13=C13,0,"MISMATCH"))</f>
        <v>0</v>
      </c>
      <c r="E13" s="45" t="str">
        <f>IF(ISNUMBER(D13),IF(ABS(D13)&lt;0.000001,"PASS","FAIL"),"FAIL")</f>
        <v>PASS</v>
      </c>
      <c r="F13" s="45" t="s">
        <v>201</v>
      </c>
    </row>
    <row r="14" spans="1:6" ht="27" customHeight="1">
      <c r="A14" s="45" t="s">
        <v>75</v>
      </c>
      <c r="B14" s="49">
        <f>IF(ISNUMBER(B13),SUM(hdProjects[Contract GBP])-B13,"BLOCKED")</f>
        <v>125400</v>
      </c>
      <c r="C14" s="49">
        <f>'HODASSA Calculations'!Q7</f>
        <v>125400</v>
      </c>
      <c r="D14" s="49">
        <f>IF(AND(ISNUMBER(B14),ISNUMBER(C14)),C14-B14,IF(B14=C14,0,"MISMATCH"))</f>
        <v>0</v>
      </c>
      <c r="E14" s="45" t="str">
        <f>IF(ISNUMBER(D14),IF(ABS(D14)&lt;0.000001,"PASS","FAIL"),"FAIL")</f>
        <v>PASS</v>
      </c>
      <c r="F14" s="45" t="s">
        <v>202</v>
      </c>
    </row>
    <row r="15" spans="1:6" ht="27" customHeight="1">
      <c r="A15" s="45" t="s">
        <v>203</v>
      </c>
      <c r="B15" s="50">
        <f>IF(ISNUMBER(B14),B14/SUM(hdProjects[Contract GBP]),"BLOCKED")</f>
        <v>0.1388704318936877</v>
      </c>
      <c r="C15" s="50">
        <f>'HODASSA Calculations'!R7</f>
        <v>0.1388704318936877</v>
      </c>
      <c r="D15" s="51">
        <f>IF(AND(ISNUMBER(B15),ISNUMBER(C15)),C15-B15,IF(B15=C15,0,"MISMATCH"))</f>
        <v>0</v>
      </c>
      <c r="E15" s="45" t="str">
        <f>IF(ISNUMBER(D15),IF(ABS(D15)&lt;0.000001,"PASS","FAIL"),"FAIL")</f>
        <v>PASS</v>
      </c>
      <c r="F15" s="45" t="s">
        <v>204</v>
      </c>
    </row>
    <row r="16" spans="1:6" ht="27" customHeight="1">
      <c r="A16" s="45" t="s">
        <v>205</v>
      </c>
      <c r="B16" s="45">
        <f>0</f>
        <v>0</v>
      </c>
      <c r="C16" s="45" cm="1">
        <f t="array" ref="C16">SUMPRODUCT(--('HODASSA Review'!B8:G8&lt;&gt;'HODASSA Calculations'!M7:R7))</f>
        <v>0</v>
      </c>
      <c r="D16" s="45">
        <f>IF(AND(ISNUMBER(B16),ISNUMBER(C16)),C16-B16,IF(B16=C16,0,"MISMATCH"))</f>
        <v>0</v>
      </c>
      <c r="E16" s="45" t="str">
        <f>IF(ISNUMBER(D16),IF(ABS(D16)&lt;0.000001,"PASS","FAIL"),"FAIL")</f>
        <v>PASS</v>
      </c>
      <c r="F16" s="45" t="s">
        <v>206</v>
      </c>
    </row>
    <row r="17" spans="1:6" ht="27" customHeight="1">
      <c r="A17" s="45" t="s">
        <v>214</v>
      </c>
      <c r="B17" s="45">
        <f>0</f>
        <v>0</v>
      </c>
      <c r="C17" s="45">
        <f>ABS(COUNT(_xlfn.CHOOSECOLS(_xlfn.ANCHORARRAY('HODASSA Calculations'!AF18),3))-COUNT(_xlfn.ANCHORARRAY('HODASSA Calculations'!Y19)))+ABS(COUNT(_xlfn.CHOOSECOLS(_xlfn.ANCHORARRAY('HODASSA Calculations'!AJ18),2))-COUNT(_xlfn.ANCHORARRAY('HODASSA Calculations'!Y19)))</f>
        <v>0</v>
      </c>
      <c r="D17" s="45">
        <f>IF(AND(ISNUMBER(B17),ISNUMBER(C17)),C17-B17,IF(B17=C17,0,"MISMATCH"))</f>
        <v>0</v>
      </c>
      <c r="E17" s="45" t="str">
        <f>IF(ISNUMBER(D17),IF(ABS(D17)&lt;0.000001,"PASS","FAIL"),"FAIL")</f>
        <v>PASS</v>
      </c>
      <c r="F17" s="45" t="s">
        <v>207</v>
      </c>
    </row>
    <row r="18" spans="1:6" ht="27" customHeight="1">
      <c r="A18" s="45" t="s">
        <v>208</v>
      </c>
      <c r="B18" s="49">
        <f>SUM(_xlfn.ANCHORARRAY('HODASSA Calculations'!Y19))</f>
        <v>777600</v>
      </c>
      <c r="C18" s="49" cm="1">
        <f t="array" ref="C18">SUM(IFERROR(_xlfn.CHOOSECOLS(_xlfn.ANCHORARRAY('HODASSA Calculations'!AF18),3),0))</f>
        <v>777600</v>
      </c>
      <c r="D18" s="49">
        <f>IF(AND(ISNUMBER(B18),ISNUMBER(C18)),C18-B18,IF(B18=C18,0,"MISMATCH"))</f>
        <v>0</v>
      </c>
      <c r="E18" s="45" t="str">
        <f>IF(ISNUMBER(D18),IF(ABS(D18)&lt;0.000001,"PASS","FAIL"),"FAIL")</f>
        <v>PASS</v>
      </c>
      <c r="F18" s="45" t="s">
        <v>209</v>
      </c>
    </row>
    <row r="19" spans="1:6" ht="27" customHeight="1">
      <c r="A19" s="45" t="s">
        <v>210</v>
      </c>
      <c r="B19" s="49">
        <f>SUM(_xlfn.ANCHORARRAY('HODASSA Calculations'!Z19))</f>
        <v>125400</v>
      </c>
      <c r="C19" s="49" cm="1">
        <f t="array" ref="C19">SUM(IFERROR(_xlfn.CHOOSECOLS(_xlfn.ANCHORARRAY('HODASSA Calculations'!AJ18),2),0))</f>
        <v>125400</v>
      </c>
      <c r="D19" s="49">
        <f>IF(AND(ISNUMBER(B19),ISNUMBER(C19)),C19-B19,IF(B19=C19,0,"MISMATCH"))</f>
        <v>0</v>
      </c>
      <c r="E19" s="45" t="str">
        <f>IF(ISNUMBER(D19),IF(ABS(D19)&lt;0.000001,"PASS","FAIL"),"FAIL")</f>
        <v>PASS</v>
      </c>
      <c r="F19" s="45" t="s">
        <v>211</v>
      </c>
    </row>
    <row r="20" spans="1:6">
      <c r="A20" s="45"/>
      <c r="B20" s="45"/>
      <c r="C20" s="45"/>
      <c r="D20" s="45"/>
      <c r="E20" s="45"/>
      <c r="F20" s="45"/>
    </row>
    <row r="21" spans="1:6">
      <c r="A21" s="45"/>
      <c r="B21" s="45"/>
      <c r="C21" s="45"/>
      <c r="D21" s="45"/>
      <c r="E21" s="45"/>
      <c r="F21" s="45"/>
    </row>
    <row r="22" spans="1:6">
      <c r="A22" s="45"/>
      <c r="B22" s="45"/>
      <c r="C22" s="45"/>
      <c r="D22" s="45"/>
      <c r="E22" s="45"/>
      <c r="F22" s="45"/>
    </row>
    <row r="23" spans="1:6">
      <c r="A23" s="45"/>
      <c r="B23" s="45"/>
      <c r="C23" s="45"/>
      <c r="D23" s="45"/>
      <c r="E23" s="45"/>
      <c r="F23" s="45"/>
    </row>
    <row r="24" spans="1:6">
      <c r="A24" s="45"/>
      <c r="B24" s="45"/>
      <c r="C24" s="45"/>
      <c r="D24" s="45"/>
      <c r="E24" s="45"/>
      <c r="F24" s="45"/>
    </row>
    <row r="25" spans="1:6">
      <c r="A25" s="45"/>
      <c r="B25" s="45"/>
      <c r="C25" s="45"/>
      <c r="D25" s="45"/>
      <c r="E25" s="45"/>
      <c r="F25" s="45"/>
    </row>
  </sheetData>
  <sheetProtection sheet="1" objects="1" scenarios="1"/>
  <mergeCells count="3">
    <mergeCell ref="A2:F2"/>
    <mergeCell ref="A3:F3"/>
    <mergeCell ref="B5:F5"/>
  </mergeCells>
  <conditionalFormatting sqref="E8:E19">
    <cfRule type="containsText" dxfId="5" priority="1" operator="containsText" text="PASS">
      <formula>NOT(ISERROR(SEARCH("PASS",E8)))</formula>
    </cfRule>
  </conditionalFormatting>
  <conditionalFormatting sqref="E8:E19">
    <cfRule type="containsText" dxfId="4" priority="2" operator="containsText" text="FAIL">
      <formula>NOT(ISERROR(SEARCH("FAIL",E8)))</formula>
    </cfRule>
  </conditionalFormatting>
  <conditionalFormatting sqref="B4">
    <cfRule type="containsText" dxfId="3" priority="3" operator="containsText" text="PASS">
      <formula>NOT(ISERROR(SEARCH("PASS",B4)))</formula>
    </cfRule>
  </conditionalFormatting>
  <conditionalFormatting sqref="B4">
    <cfRule type="containsText" dxfId="2" priority="4" operator="containsText" text="REVIEW">
      <formula>NOT(ISERROR(SEARCH("REVIEW",B4)))</formula>
    </cfRule>
  </conditionalFormatting>
  <hyperlinks>
    <hyperlink ref="F4" location="'HODASSA Review'!B2" display="Back to dashboard" xr:uid="{127BE9E7-1EDC-4C99-84CB-BD8674917B0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EE49-32DF-4562-B5F4-C23C914E8C91}">
  <dimension ref="A2:U101"/>
  <sheetViews>
    <sheetView workbookViewId="0"/>
  </sheetViews>
  <sheetFormatPr defaultRowHeight="13.8"/>
  <cols>
    <col min="1" max="1" width="35" customWidth="1"/>
    <col min="2" max="2" width="12.5" customWidth="1"/>
    <col min="3" max="5" width="43.296875" customWidth="1"/>
  </cols>
  <sheetData>
    <row r="2" spans="2:21">
      <c r="B2" t="s">
        <v>166</v>
      </c>
    </row>
    <row r="3" spans="2:21">
      <c r="B3" t="s">
        <v>167</v>
      </c>
    </row>
    <row r="5" spans="2:21">
      <c r="M5" s="13" t="s">
        <v>117</v>
      </c>
      <c r="N5" s="13"/>
      <c r="O5" s="13"/>
      <c r="P5" s="13"/>
      <c r="Q5" s="13"/>
      <c r="R5" s="13"/>
      <c r="S5" s="13"/>
      <c r="T5" s="13"/>
      <c r="U5" s="13"/>
    </row>
    <row r="6" spans="2:21" ht="55.2">
      <c r="D6" s="9" t="s">
        <v>108</v>
      </c>
      <c r="E6" s="9" t="s">
        <v>109</v>
      </c>
      <c r="F6" s="9" t="s">
        <v>110</v>
      </c>
      <c r="G6" s="9" t="s">
        <v>111</v>
      </c>
      <c r="H6" s="9" t="s">
        <v>112</v>
      </c>
      <c r="I6" s="9" t="s">
        <v>113</v>
      </c>
      <c r="J6" s="9" t="s">
        <v>114</v>
      </c>
      <c r="M6" s="13" t="s">
        <v>118</v>
      </c>
      <c r="N6" s="13"/>
      <c r="O6" s="13"/>
      <c r="P6" s="13"/>
      <c r="Q6" s="13"/>
      <c r="R6" s="13"/>
      <c r="S6" s="13"/>
      <c r="T6" s="13"/>
      <c r="U6" s="13"/>
    </row>
    <row r="7" spans="2:21" ht="79.2">
      <c r="D7" s="41" t="s">
        <v>128</v>
      </c>
      <c r="E7" s="41" t="s">
        <v>129</v>
      </c>
      <c r="F7" s="41" t="s">
        <v>130</v>
      </c>
      <c r="G7" s="41" t="s">
        <v>164</v>
      </c>
      <c r="H7" s="41" t="s">
        <v>131</v>
      </c>
      <c r="I7" s="42">
        <v>46305</v>
      </c>
      <c r="J7" s="41"/>
      <c r="M7" s="37" t="s">
        <v>119</v>
      </c>
      <c r="N7" s="37"/>
      <c r="O7" s="37"/>
      <c r="P7" s="37"/>
      <c r="Q7" s="37"/>
      <c r="R7" s="37"/>
      <c r="S7" s="37"/>
      <c r="T7" s="37"/>
      <c r="U7" s="37"/>
    </row>
    <row r="8" spans="2:21" ht="92.4">
      <c r="D8" s="41" t="s">
        <v>132</v>
      </c>
      <c r="E8" s="41" t="s">
        <v>129</v>
      </c>
      <c r="F8" s="41" t="s">
        <v>133</v>
      </c>
      <c r="G8" s="41" t="s">
        <v>134</v>
      </c>
      <c r="H8" s="41" t="s">
        <v>131</v>
      </c>
      <c r="I8" s="42">
        <v>46305</v>
      </c>
      <c r="J8" s="41"/>
      <c r="M8" s="37" t="s">
        <v>120</v>
      </c>
      <c r="N8" s="37"/>
      <c r="O8" s="37"/>
      <c r="P8" s="37"/>
      <c r="Q8" s="37"/>
      <c r="R8" s="37"/>
      <c r="S8" s="37"/>
      <c r="T8" s="37"/>
      <c r="U8" s="37"/>
    </row>
    <row r="9" spans="2:21" ht="92.4">
      <c r="D9" s="41" t="s">
        <v>135</v>
      </c>
      <c r="E9" s="41" t="s">
        <v>129</v>
      </c>
      <c r="F9" s="41" t="s">
        <v>136</v>
      </c>
      <c r="G9" s="41" t="s">
        <v>137</v>
      </c>
      <c r="H9" s="41" t="s">
        <v>131</v>
      </c>
      <c r="I9" s="42">
        <v>46305</v>
      </c>
      <c r="J9" s="41"/>
      <c r="M9" s="37" t="s">
        <v>121</v>
      </c>
      <c r="N9" s="37"/>
      <c r="O9" s="37"/>
      <c r="P9" s="37"/>
      <c r="Q9" s="37"/>
      <c r="R9" s="37"/>
      <c r="S9" s="37"/>
      <c r="T9" s="37"/>
      <c r="U9" s="37"/>
    </row>
    <row r="10" spans="2:21" ht="105.6">
      <c r="D10" s="41" t="s">
        <v>138</v>
      </c>
      <c r="E10" s="41" t="s">
        <v>129</v>
      </c>
      <c r="F10" s="41" t="s">
        <v>139</v>
      </c>
      <c r="G10" s="41" t="s">
        <v>140</v>
      </c>
      <c r="H10" s="41" t="s">
        <v>131</v>
      </c>
      <c r="I10" s="42">
        <v>46305</v>
      </c>
      <c r="J10" s="41"/>
      <c r="M10" s="37" t="s">
        <v>122</v>
      </c>
      <c r="N10" s="37"/>
      <c r="O10" s="37"/>
      <c r="P10" s="37"/>
      <c r="Q10" s="37"/>
      <c r="R10" s="37"/>
      <c r="S10" s="37"/>
      <c r="T10" s="37"/>
      <c r="U10" s="37"/>
    </row>
    <row r="11" spans="2:21" ht="79.2">
      <c r="D11" s="41" t="s">
        <v>141</v>
      </c>
      <c r="E11" s="41" t="s">
        <v>129</v>
      </c>
      <c r="F11" s="41" t="s">
        <v>142</v>
      </c>
      <c r="G11" s="41" t="s">
        <v>143</v>
      </c>
      <c r="H11" s="41" t="s">
        <v>131</v>
      </c>
      <c r="I11" s="42">
        <v>46305</v>
      </c>
      <c r="J11" s="41" t="s">
        <v>165</v>
      </c>
      <c r="M11" s="37" t="s">
        <v>123</v>
      </c>
      <c r="N11" s="37"/>
      <c r="O11" s="37"/>
      <c r="P11" s="37"/>
      <c r="Q11" s="37"/>
      <c r="R11" s="37"/>
      <c r="S11" s="37"/>
      <c r="T11" s="37"/>
      <c r="U11" s="37"/>
    </row>
    <row r="12" spans="2:21" ht="92.4">
      <c r="D12" s="41" t="s">
        <v>144</v>
      </c>
      <c r="E12" s="41" t="s">
        <v>129</v>
      </c>
      <c r="F12" s="41" t="s">
        <v>145</v>
      </c>
      <c r="G12" s="41" t="s">
        <v>146</v>
      </c>
      <c r="H12" s="41" t="s">
        <v>131</v>
      </c>
      <c r="I12" s="42">
        <v>46305</v>
      </c>
      <c r="J12" s="41"/>
      <c r="M12" s="37" t="s">
        <v>124</v>
      </c>
      <c r="N12" s="37"/>
      <c r="O12" s="37"/>
      <c r="P12" s="37"/>
      <c r="Q12" s="37"/>
      <c r="R12" s="37"/>
      <c r="S12" s="37"/>
      <c r="T12" s="37"/>
      <c r="U12" s="37"/>
    </row>
    <row r="13" spans="2:21" ht="52.8">
      <c r="D13" s="41" t="s">
        <v>147</v>
      </c>
      <c r="E13" s="41" t="s">
        <v>129</v>
      </c>
      <c r="F13" s="41" t="s">
        <v>148</v>
      </c>
      <c r="G13" s="41" t="s">
        <v>149</v>
      </c>
      <c r="H13" s="41" t="s">
        <v>131</v>
      </c>
      <c r="I13" s="42">
        <v>46305</v>
      </c>
      <c r="J13" s="41"/>
      <c r="M13" s="37" t="s">
        <v>125</v>
      </c>
      <c r="N13" s="37"/>
      <c r="O13" s="37"/>
      <c r="P13" s="37"/>
      <c r="Q13" s="37"/>
      <c r="R13" s="37"/>
      <c r="S13" s="37"/>
      <c r="T13" s="37"/>
      <c r="U13" s="37"/>
    </row>
    <row r="14" spans="2:21" ht="92.4">
      <c r="D14" s="41" t="s">
        <v>150</v>
      </c>
      <c r="E14" s="41" t="s">
        <v>129</v>
      </c>
      <c r="F14" s="41" t="s">
        <v>151</v>
      </c>
      <c r="G14" s="41" t="s">
        <v>152</v>
      </c>
      <c r="H14" s="41" t="s">
        <v>131</v>
      </c>
      <c r="I14" s="42">
        <v>46305</v>
      </c>
      <c r="J14" s="41" t="s">
        <v>153</v>
      </c>
      <c r="M14" s="37" t="s">
        <v>126</v>
      </c>
      <c r="N14" s="37"/>
      <c r="O14" s="37"/>
      <c r="P14" s="37"/>
      <c r="Q14" s="37"/>
      <c r="R14" s="37"/>
      <c r="S14" s="37"/>
      <c r="T14" s="37"/>
      <c r="U14" s="37"/>
    </row>
    <row r="15" spans="2:21" ht="79.2">
      <c r="D15" s="41" t="s">
        <v>154</v>
      </c>
      <c r="E15" s="41" t="s">
        <v>129</v>
      </c>
      <c r="F15" s="41" t="s">
        <v>155</v>
      </c>
      <c r="G15" s="41" t="s">
        <v>156</v>
      </c>
      <c r="H15" s="41" t="s">
        <v>131</v>
      </c>
      <c r="I15" s="42">
        <v>46305</v>
      </c>
      <c r="J15" s="41"/>
    </row>
    <row r="16" spans="2:21" ht="105.6">
      <c r="D16" s="41" t="s">
        <v>157</v>
      </c>
      <c r="E16" s="41" t="s">
        <v>129</v>
      </c>
      <c r="F16" s="41" t="s">
        <v>158</v>
      </c>
      <c r="G16" s="41" t="s">
        <v>161</v>
      </c>
      <c r="H16" s="41" t="s">
        <v>131</v>
      </c>
      <c r="I16" s="42">
        <v>46305</v>
      </c>
      <c r="J16" s="41" t="s">
        <v>162</v>
      </c>
    </row>
    <row r="39" spans="1:8">
      <c r="A39" t="s">
        <v>172</v>
      </c>
    </row>
    <row r="40" spans="1:8">
      <c r="A40" t="s">
        <v>3</v>
      </c>
      <c r="B40" t="s">
        <v>2</v>
      </c>
      <c r="C40" t="s">
        <v>4</v>
      </c>
      <c r="D40" t="s">
        <v>5</v>
      </c>
      <c r="E40" t="s">
        <v>6</v>
      </c>
      <c r="F40" t="s">
        <v>7</v>
      </c>
      <c r="G40" t="s">
        <v>8</v>
      </c>
      <c r="H40" t="s">
        <v>9</v>
      </c>
    </row>
    <row r="41" spans="1:8">
      <c r="A41" t="s">
        <v>14</v>
      </c>
      <c r="B41" t="s">
        <v>15</v>
      </c>
      <c r="C41" t="s">
        <v>16</v>
      </c>
      <c r="D41">
        <v>185000</v>
      </c>
      <c r="E41">
        <v>151700</v>
      </c>
      <c r="F41">
        <v>0.71</v>
      </c>
      <c r="G41">
        <v>18500</v>
      </c>
      <c r="H41">
        <v>40000</v>
      </c>
    </row>
    <row r="42" spans="1:8">
      <c r="A42" t="s">
        <v>17</v>
      </c>
      <c r="B42" t="s">
        <v>18</v>
      </c>
      <c r="C42" t="s">
        <v>19</v>
      </c>
      <c r="D42">
        <v>92000</v>
      </c>
      <c r="E42">
        <v>71760</v>
      </c>
      <c r="F42">
        <v>0.68</v>
      </c>
      <c r="G42">
        <v>9600</v>
      </c>
      <c r="H42">
        <v>18000</v>
      </c>
    </row>
    <row r="43" spans="1:8">
      <c r="A43" t="s">
        <v>20</v>
      </c>
      <c r="B43" t="s">
        <v>21</v>
      </c>
      <c r="C43" t="s">
        <v>16</v>
      </c>
      <c r="D43">
        <v>240000</v>
      </c>
      <c r="E43">
        <v>201600</v>
      </c>
      <c r="F43">
        <v>0.45</v>
      </c>
      <c r="G43">
        <v>45000</v>
      </c>
      <c r="H43">
        <v>80000</v>
      </c>
    </row>
    <row r="44" spans="1:8">
      <c r="A44" t="s">
        <v>22</v>
      </c>
      <c r="B44" t="s">
        <v>23</v>
      </c>
      <c r="C44" t="s">
        <v>24</v>
      </c>
      <c r="D44">
        <v>76000</v>
      </c>
      <c r="E44">
        <v>60800</v>
      </c>
      <c r="F44">
        <v>0.82</v>
      </c>
      <c r="G44">
        <v>5000</v>
      </c>
      <c r="H44">
        <v>6000</v>
      </c>
    </row>
    <row r="45" spans="1:8">
      <c r="A45" t="s">
        <v>25</v>
      </c>
      <c r="B45" t="s">
        <v>26</v>
      </c>
      <c r="C45" t="s">
        <v>19</v>
      </c>
      <c r="D45">
        <v>310000</v>
      </c>
      <c r="E45">
        <v>235600</v>
      </c>
      <c r="F45">
        <v>0.38</v>
      </c>
      <c r="G45">
        <v>58000</v>
      </c>
      <c r="H45">
        <v>105000</v>
      </c>
    </row>
    <row r="48" spans="1:8">
      <c r="A48" t="s">
        <v>173</v>
      </c>
    </row>
    <row r="49" spans="1:6">
      <c r="A49" t="s">
        <v>27</v>
      </c>
      <c r="B49" t="s">
        <v>28</v>
      </c>
      <c r="C49" t="s">
        <v>3</v>
      </c>
      <c r="D49" t="s">
        <v>29</v>
      </c>
      <c r="E49" t="s">
        <v>30</v>
      </c>
      <c r="F49" t="s">
        <v>31</v>
      </c>
    </row>
    <row r="50" spans="1:6">
      <c r="A50" t="s">
        <v>33</v>
      </c>
      <c r="B50">
        <v>46244</v>
      </c>
      <c r="C50" t="s">
        <v>14</v>
      </c>
      <c r="D50" t="s">
        <v>34</v>
      </c>
      <c r="E50">
        <v>1</v>
      </c>
      <c r="F50">
        <v>40000</v>
      </c>
    </row>
    <row r="51" spans="1:6">
      <c r="A51" t="s">
        <v>35</v>
      </c>
      <c r="B51">
        <v>46270</v>
      </c>
      <c r="C51" t="s">
        <v>14</v>
      </c>
      <c r="D51" t="s">
        <v>36</v>
      </c>
      <c r="E51">
        <v>500</v>
      </c>
      <c r="F51">
        <v>35</v>
      </c>
    </row>
    <row r="52" spans="1:6">
      <c r="A52" t="s">
        <v>37</v>
      </c>
      <c r="B52">
        <v>46280</v>
      </c>
      <c r="C52" t="s">
        <v>14</v>
      </c>
      <c r="D52" t="s">
        <v>38</v>
      </c>
      <c r="E52">
        <v>1</v>
      </c>
      <c r="F52">
        <v>15000</v>
      </c>
    </row>
    <row r="53" spans="1:6">
      <c r="A53" t="s">
        <v>39</v>
      </c>
      <c r="B53">
        <v>46244</v>
      </c>
      <c r="C53" t="s">
        <v>17</v>
      </c>
      <c r="D53" t="s">
        <v>34</v>
      </c>
      <c r="E53">
        <v>1</v>
      </c>
      <c r="F53">
        <v>18000</v>
      </c>
    </row>
    <row r="54" spans="1:6">
      <c r="A54" t="s">
        <v>40</v>
      </c>
      <c r="B54">
        <v>46270</v>
      </c>
      <c r="C54" t="s">
        <v>17</v>
      </c>
      <c r="D54" t="s">
        <v>36</v>
      </c>
      <c r="E54">
        <v>580</v>
      </c>
      <c r="F54">
        <v>35</v>
      </c>
    </row>
    <row r="55" spans="1:6">
      <c r="A55" t="s">
        <v>41</v>
      </c>
      <c r="B55">
        <v>46280</v>
      </c>
      <c r="C55" t="s">
        <v>17</v>
      </c>
      <c r="D55" t="s">
        <v>38</v>
      </c>
      <c r="E55">
        <v>1</v>
      </c>
      <c r="F55">
        <v>18000</v>
      </c>
    </row>
    <row r="56" spans="1:6">
      <c r="A56" t="s">
        <v>42</v>
      </c>
      <c r="B56">
        <v>46244</v>
      </c>
      <c r="C56" t="s">
        <v>20</v>
      </c>
      <c r="D56" t="s">
        <v>34</v>
      </c>
      <c r="E56">
        <v>1</v>
      </c>
      <c r="F56">
        <v>44000</v>
      </c>
    </row>
    <row r="57" spans="1:6">
      <c r="A57" t="s">
        <v>43</v>
      </c>
      <c r="B57">
        <v>46270</v>
      </c>
      <c r="C57" t="s">
        <v>20</v>
      </c>
      <c r="D57" t="s">
        <v>36</v>
      </c>
      <c r="E57">
        <v>660</v>
      </c>
      <c r="F57">
        <v>35</v>
      </c>
    </row>
    <row r="58" spans="1:6">
      <c r="A58" t="s">
        <v>44</v>
      </c>
      <c r="B58">
        <v>46280</v>
      </c>
      <c r="C58" t="s">
        <v>20</v>
      </c>
      <c r="D58" t="s">
        <v>38</v>
      </c>
      <c r="E58">
        <v>1</v>
      </c>
      <c r="F58">
        <v>21000</v>
      </c>
    </row>
    <row r="59" spans="1:6">
      <c r="A59" t="s">
        <v>45</v>
      </c>
      <c r="B59">
        <v>46244</v>
      </c>
      <c r="C59" t="s">
        <v>22</v>
      </c>
      <c r="D59" t="s">
        <v>34</v>
      </c>
      <c r="E59">
        <v>1</v>
      </c>
      <c r="F59">
        <v>22000</v>
      </c>
    </row>
    <row r="60" spans="1:6">
      <c r="A60" t="s">
        <v>46</v>
      </c>
      <c r="B60">
        <v>46270</v>
      </c>
      <c r="C60" t="s">
        <v>22</v>
      </c>
      <c r="D60" t="s">
        <v>36</v>
      </c>
      <c r="E60">
        <v>740</v>
      </c>
      <c r="F60">
        <v>35</v>
      </c>
    </row>
    <row r="61" spans="1:6">
      <c r="A61" t="s">
        <v>47</v>
      </c>
      <c r="B61">
        <v>46280</v>
      </c>
      <c r="C61" t="s">
        <v>22</v>
      </c>
      <c r="D61" t="s">
        <v>38</v>
      </c>
      <c r="E61">
        <v>1</v>
      </c>
      <c r="F61">
        <v>24000</v>
      </c>
    </row>
    <row r="62" spans="1:6">
      <c r="A62" t="s">
        <v>48</v>
      </c>
      <c r="B62">
        <v>46244</v>
      </c>
      <c r="C62" t="s">
        <v>25</v>
      </c>
      <c r="D62" t="s">
        <v>34</v>
      </c>
      <c r="E62">
        <v>1</v>
      </c>
      <c r="F62">
        <v>48000</v>
      </c>
    </row>
    <row r="63" spans="1:6">
      <c r="A63" t="s">
        <v>49</v>
      </c>
      <c r="B63">
        <v>46270</v>
      </c>
      <c r="C63" t="s">
        <v>25</v>
      </c>
      <c r="D63" t="s">
        <v>36</v>
      </c>
      <c r="E63">
        <v>820</v>
      </c>
      <c r="F63">
        <v>35</v>
      </c>
    </row>
    <row r="64" spans="1:6">
      <c r="A64" t="s">
        <v>50</v>
      </c>
      <c r="B64">
        <v>46280</v>
      </c>
      <c r="C64" t="s">
        <v>25</v>
      </c>
      <c r="D64" t="s">
        <v>38</v>
      </c>
      <c r="E64">
        <v>1</v>
      </c>
      <c r="F64">
        <v>27000</v>
      </c>
    </row>
    <row r="67" spans="1:5">
      <c r="A67" t="s">
        <v>174</v>
      </c>
      <c r="B67" s="4">
        <v>46295</v>
      </c>
    </row>
    <row r="69" spans="1:5">
      <c r="A69" t="s">
        <v>175</v>
      </c>
    </row>
    <row r="70" spans="1:5">
      <c r="A70" t="s">
        <v>176</v>
      </c>
    </row>
    <row r="71" spans="1:5">
      <c r="A71" t="s">
        <v>216</v>
      </c>
    </row>
    <row r="72" spans="1:5">
      <c r="A72" t="s">
        <v>217</v>
      </c>
    </row>
    <row r="73" spans="1:5">
      <c r="A73" s="55" t="s">
        <v>212</v>
      </c>
      <c r="B73" s="55" t="s">
        <v>109</v>
      </c>
      <c r="C73" s="55" t="s">
        <v>213</v>
      </c>
      <c r="D73" s="55" t="s">
        <v>111</v>
      </c>
      <c r="E73" s="55" t="s">
        <v>112</v>
      </c>
    </row>
    <row r="74" spans="1:5" ht="55.95" customHeight="1">
      <c r="A74" s="35" t="s">
        <v>268</v>
      </c>
      <c r="B74" s="35" t="s">
        <v>129</v>
      </c>
      <c r="C74" s="35" t="s">
        <v>269</v>
      </c>
      <c r="D74" s="35" t="s">
        <v>270</v>
      </c>
      <c r="E74" s="35" t="s">
        <v>131</v>
      </c>
    </row>
    <row r="75" spans="1:5" ht="55.95" customHeight="1">
      <c r="A75" s="35" t="s">
        <v>218</v>
      </c>
      <c r="B75" s="35" t="s">
        <v>129</v>
      </c>
      <c r="C75" s="35" t="s">
        <v>219</v>
      </c>
      <c r="D75" s="35" t="s">
        <v>220</v>
      </c>
      <c r="E75" s="35" t="s">
        <v>131</v>
      </c>
    </row>
    <row r="76" spans="1:5" ht="55.95" customHeight="1">
      <c r="A76" s="35" t="s">
        <v>221</v>
      </c>
      <c r="B76" s="35" t="s">
        <v>129</v>
      </c>
      <c r="C76" s="35" t="s">
        <v>222</v>
      </c>
      <c r="D76" s="35" t="s">
        <v>223</v>
      </c>
      <c r="E76" s="35" t="s">
        <v>131</v>
      </c>
    </row>
    <row r="77" spans="1:5" ht="55.95" customHeight="1">
      <c r="A77" s="35" t="s">
        <v>224</v>
      </c>
      <c r="B77" s="35" t="s">
        <v>129</v>
      </c>
      <c r="C77" s="35" t="s">
        <v>225</v>
      </c>
      <c r="D77" s="35" t="s">
        <v>226</v>
      </c>
      <c r="E77" s="35" t="s">
        <v>131</v>
      </c>
    </row>
    <row r="78" spans="1:5" ht="55.95" customHeight="1">
      <c r="A78" s="35" t="s">
        <v>138</v>
      </c>
      <c r="B78" s="35" t="s">
        <v>129</v>
      </c>
      <c r="C78" s="35" t="s">
        <v>227</v>
      </c>
      <c r="D78" s="35" t="s">
        <v>228</v>
      </c>
      <c r="E78" s="35" t="s">
        <v>131</v>
      </c>
    </row>
    <row r="79" spans="1:5" ht="55.95" customHeight="1">
      <c r="A79" s="35" t="s">
        <v>229</v>
      </c>
      <c r="B79" s="35" t="s">
        <v>129</v>
      </c>
      <c r="C79" s="35" t="s">
        <v>230</v>
      </c>
      <c r="D79" s="35" t="s">
        <v>231</v>
      </c>
      <c r="E79" s="35" t="s">
        <v>131</v>
      </c>
    </row>
    <row r="80" spans="1:5" ht="55.95" customHeight="1">
      <c r="A80" s="35" t="s">
        <v>232</v>
      </c>
      <c r="B80" s="35" t="s">
        <v>129</v>
      </c>
      <c r="C80" s="35" t="s">
        <v>233</v>
      </c>
      <c r="D80" s="35" t="s">
        <v>231</v>
      </c>
      <c r="E80" s="35" t="s">
        <v>131</v>
      </c>
    </row>
    <row r="81" spans="1:5" ht="55.95" customHeight="1">
      <c r="A81" s="35" t="s">
        <v>234</v>
      </c>
      <c r="B81" s="35" t="s">
        <v>129</v>
      </c>
      <c r="C81" s="35" t="s">
        <v>235</v>
      </c>
      <c r="D81" s="35" t="s">
        <v>236</v>
      </c>
      <c r="E81" s="35" t="s">
        <v>131</v>
      </c>
    </row>
    <row r="82" spans="1:5" ht="55.95" customHeight="1">
      <c r="A82" s="35" t="s">
        <v>237</v>
      </c>
      <c r="B82" s="35" t="s">
        <v>129</v>
      </c>
      <c r="C82" s="35" t="s">
        <v>238</v>
      </c>
      <c r="D82" s="35" t="s">
        <v>239</v>
      </c>
      <c r="E82" s="35" t="s">
        <v>131</v>
      </c>
    </row>
    <row r="83" spans="1:5" ht="55.95" customHeight="1">
      <c r="A83" s="35" t="s">
        <v>240</v>
      </c>
      <c r="B83" s="35" t="s">
        <v>129</v>
      </c>
      <c r="C83" s="35" t="s">
        <v>241</v>
      </c>
      <c r="D83" s="35" t="s">
        <v>239</v>
      </c>
      <c r="E83" s="35" t="s">
        <v>131</v>
      </c>
    </row>
    <row r="84" spans="1:5" ht="55.95" customHeight="1">
      <c r="A84" s="35" t="s">
        <v>242</v>
      </c>
      <c r="B84" s="35" t="s">
        <v>129</v>
      </c>
      <c r="C84" s="35" t="s">
        <v>241</v>
      </c>
      <c r="D84" s="35" t="s">
        <v>239</v>
      </c>
      <c r="E84" s="35" t="s">
        <v>131</v>
      </c>
    </row>
    <row r="85" spans="1:5" ht="55.95" customHeight="1">
      <c r="A85" s="35" t="s">
        <v>243</v>
      </c>
      <c r="B85" s="35" t="s">
        <v>129</v>
      </c>
      <c r="C85" s="35" t="s">
        <v>244</v>
      </c>
      <c r="D85" s="35" t="s">
        <v>245</v>
      </c>
      <c r="E85" s="35" t="s">
        <v>131</v>
      </c>
    </row>
    <row r="86" spans="1:5" ht="55.95" customHeight="1">
      <c r="A86" s="35" t="s">
        <v>246</v>
      </c>
      <c r="B86" s="35" t="s">
        <v>129</v>
      </c>
      <c r="C86" s="35" t="s">
        <v>247</v>
      </c>
      <c r="D86" s="35" t="s">
        <v>248</v>
      </c>
      <c r="E86" s="35" t="s">
        <v>131</v>
      </c>
    </row>
    <row r="87" spans="1:5" ht="55.95" customHeight="1">
      <c r="A87" s="35" t="s">
        <v>249</v>
      </c>
      <c r="B87" s="35" t="s">
        <v>129</v>
      </c>
      <c r="C87" s="35" t="s">
        <v>250</v>
      </c>
      <c r="D87" s="35" t="s">
        <v>239</v>
      </c>
      <c r="E87" s="35" t="s">
        <v>131</v>
      </c>
    </row>
    <row r="88" spans="1:5" ht="55.95" customHeight="1">
      <c r="A88" s="35" t="s">
        <v>251</v>
      </c>
      <c r="B88" s="35" t="s">
        <v>129</v>
      </c>
      <c r="C88" s="35" t="s">
        <v>252</v>
      </c>
      <c r="D88" s="35" t="s">
        <v>223</v>
      </c>
      <c r="E88" s="35" t="s">
        <v>131</v>
      </c>
    </row>
    <row r="89" spans="1:5" ht="55.95" customHeight="1">
      <c r="A89" s="35" t="s">
        <v>253</v>
      </c>
      <c r="B89" s="35" t="s">
        <v>129</v>
      </c>
      <c r="C89" s="35" t="s">
        <v>252</v>
      </c>
      <c r="D89" s="35" t="s">
        <v>223</v>
      </c>
      <c r="E89" s="35" t="s">
        <v>131</v>
      </c>
    </row>
    <row r="90" spans="1:5" ht="55.95" customHeight="1">
      <c r="A90" s="35" t="s">
        <v>254</v>
      </c>
      <c r="B90" s="35" t="s">
        <v>129</v>
      </c>
      <c r="C90" s="35" t="s">
        <v>255</v>
      </c>
      <c r="D90" s="35" t="s">
        <v>223</v>
      </c>
      <c r="E90" s="35" t="s">
        <v>131</v>
      </c>
    </row>
    <row r="91" spans="1:5" ht="55.95" customHeight="1">
      <c r="A91" s="35" t="s">
        <v>256</v>
      </c>
      <c r="B91" s="35" t="s">
        <v>129</v>
      </c>
      <c r="C91" s="35" t="s">
        <v>257</v>
      </c>
      <c r="D91" s="35" t="s">
        <v>223</v>
      </c>
      <c r="E91" s="35" t="s">
        <v>131</v>
      </c>
    </row>
    <row r="92" spans="1:5" ht="55.95" customHeight="1">
      <c r="A92" s="35" t="s">
        <v>258</v>
      </c>
      <c r="B92" s="35" t="s">
        <v>129</v>
      </c>
      <c r="C92" s="35" t="s">
        <v>259</v>
      </c>
      <c r="D92" s="35" t="s">
        <v>239</v>
      </c>
      <c r="E92" s="35" t="s">
        <v>131</v>
      </c>
    </row>
    <row r="93" spans="1:5" ht="41.4">
      <c r="A93" s="35" t="s">
        <v>282</v>
      </c>
      <c r="B93" s="35" t="s">
        <v>129</v>
      </c>
      <c r="C93" s="35" t="s">
        <v>283</v>
      </c>
      <c r="D93" s="35" t="s">
        <v>284</v>
      </c>
      <c r="E93" s="35" t="s">
        <v>131</v>
      </c>
    </row>
    <row r="94" spans="1:5" ht="82.8">
      <c r="A94" s="35" t="s">
        <v>264</v>
      </c>
      <c r="B94" s="35"/>
      <c r="C94" s="35"/>
      <c r="D94" s="35"/>
      <c r="E94" s="35"/>
    </row>
    <row r="95" spans="1:5" ht="60" customHeight="1">
      <c r="A95" s="35" t="s">
        <v>271</v>
      </c>
      <c r="B95" s="35" t="s">
        <v>129</v>
      </c>
      <c r="C95" s="35" t="s">
        <v>272</v>
      </c>
      <c r="D95" s="35" t="s">
        <v>273</v>
      </c>
      <c r="E95" s="35" t="s">
        <v>131</v>
      </c>
    </row>
    <row r="96" spans="1:5" ht="60" customHeight="1">
      <c r="A96" s="35" t="s">
        <v>265</v>
      </c>
      <c r="B96" s="35" t="s">
        <v>129</v>
      </c>
      <c r="C96" s="35" t="s">
        <v>266</v>
      </c>
      <c r="D96" s="35" t="s">
        <v>267</v>
      </c>
      <c r="E96" s="35" t="s">
        <v>131</v>
      </c>
    </row>
    <row r="97" spans="1:5" ht="60" customHeight="1">
      <c r="A97" s="35" t="s">
        <v>274</v>
      </c>
      <c r="B97" s="35" t="s">
        <v>129</v>
      </c>
      <c r="C97" s="35" t="s">
        <v>275</v>
      </c>
      <c r="D97" s="35" t="s">
        <v>276</v>
      </c>
      <c r="E97" s="35" t="s">
        <v>131</v>
      </c>
    </row>
    <row r="98" spans="1:5" ht="60" customHeight="1">
      <c r="A98" s="35" t="s">
        <v>285</v>
      </c>
      <c r="B98" s="35" t="s">
        <v>286</v>
      </c>
      <c r="C98" s="35" t="s">
        <v>287</v>
      </c>
      <c r="D98" s="35" t="s">
        <v>288</v>
      </c>
      <c r="E98" s="35" t="s">
        <v>289</v>
      </c>
    </row>
    <row r="99" spans="1:5">
      <c r="A99" t="s">
        <v>277</v>
      </c>
    </row>
    <row r="100" spans="1:5">
      <c r="A100" t="s">
        <v>278</v>
      </c>
    </row>
    <row r="101" spans="1:5">
      <c r="A101" t="s">
        <v>279</v>
      </c>
    </row>
  </sheetData>
  <sheetProtection sheet="1" objects="1" scenarios="1"/>
  <mergeCells count="10">
    <mergeCell ref="M11:U11"/>
    <mergeCell ref="M12:U12"/>
    <mergeCell ref="M13:U13"/>
    <mergeCell ref="M14:U14"/>
    <mergeCell ref="M5:U5"/>
    <mergeCell ref="M6:U6"/>
    <mergeCell ref="M7:U7"/>
    <mergeCell ref="M8:U8"/>
    <mergeCell ref="M9:U9"/>
    <mergeCell ref="M10:U10"/>
  </mergeCells>
  <conditionalFormatting sqref="E7:E16">
    <cfRule type="cellIs" dxfId="1" priority="1" operator="equal">
      <formula>"PASS"</formula>
    </cfRule>
  </conditionalFormatting>
  <conditionalFormatting sqref="E7:E16">
    <cfRule type="cellIs" dxfId="0" priority="2" operator="equal">
      <formula>"FAIL"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HODASSA Review</vt:lpstr>
      <vt:lpstr>HODASSA Projects</vt:lpstr>
      <vt:lpstr>HODASSA Costs</vt:lpstr>
      <vt:lpstr>HODASSA Calculations</vt:lpstr>
      <vt:lpstr>HODASSA Checks</vt:lpstr>
      <vt:lpstr>HODASSA Admin</vt:lpstr>
      <vt:lpstr>hdCostIDs</vt:lpstr>
      <vt:lpstr>hdProjectIDs</vt:lpstr>
      <vt:lpstr>hdReportDate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Fábio</dc:creator>
  <cp:lastModifiedBy>Fábio Teixeira</cp:lastModifiedBy>
  <dcterms:created xsi:type="dcterms:W3CDTF">2026-10-10T16:16:03Z</dcterms:created>
  <dcterms:modified xsi:type="dcterms:W3CDTF">2026-10-10T16:38:13Z</dcterms:modified>
</cp:coreProperties>
</file>